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1" documentId="8_{8AF1DB41-AEA1-4A9D-A56F-643B22927C70}" xr6:coauthVersionLast="47" xr6:coauthVersionMax="47" xr10:uidLastSave="{07A21D9E-D03E-48C7-8EDC-F3344B0DCD68}"/>
  <bookViews>
    <workbookView xWindow="-108" yWindow="-108" windowWidth="23256" windowHeight="12456" xr2:uid="{C0673FDC-2F4F-4E8C-8BA8-D6A152B9CB77}"/>
  </bookViews>
  <sheets>
    <sheet name="Standard format (220 pts) (2)" sheetId="6" r:id="rId1"/>
    <sheet name="Standard format (220 pts)" sheetId="1" r:id="rId2"/>
    <sheet name="Large battle (330 pts)" sheetId="5" r:id="rId3"/>
    <sheet name="Armies v4" sheetId="3" r:id="rId4"/>
    <sheet name="Troops" sheetId="4" r:id="rId5"/>
    <sheet name="Version History" sheetId="2" r:id="rId6"/>
  </sheets>
  <definedNames>
    <definedName name="_xlnm._FilterDatabase" localSheetId="3" hidden="1">'Armies v4'!$A$1:$B$93</definedName>
    <definedName name="_xlnm._FilterDatabase" localSheetId="4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6" l="1"/>
  <c r="Z35" i="6"/>
  <c r="X35" i="6"/>
  <c r="T35" i="6" a="1"/>
  <c r="R35" i="6" a="1"/>
  <c r="O35" i="6"/>
  <c r="P35" i="6" s="1"/>
  <c r="M35" i="6"/>
  <c r="AB26" i="6"/>
  <c r="Z26" i="6"/>
  <c r="X26" i="6"/>
  <c r="T26" i="6" a="1"/>
  <c r="R26" i="6" a="1"/>
  <c r="O26" i="6"/>
  <c r="P26" i="6" s="1"/>
  <c r="M26" i="6"/>
  <c r="AB37" i="6"/>
  <c r="Z37" i="6"/>
  <c r="X37" i="6"/>
  <c r="T37" i="6" a="1"/>
  <c r="R37" i="6" a="1"/>
  <c r="O37" i="6"/>
  <c r="P37" i="6" s="1"/>
  <c r="M37" i="6"/>
  <c r="AB36" i="6"/>
  <c r="Z36" i="6"/>
  <c r="X36" i="6"/>
  <c r="T36" i="6" a="1"/>
  <c r="R36" i="6" a="1"/>
  <c r="O36" i="6"/>
  <c r="P36" i="6" s="1"/>
  <c r="M36" i="6"/>
  <c r="AB34" i="6"/>
  <c r="Z34" i="6"/>
  <c r="X34" i="6"/>
  <c r="T34" i="6" a="1"/>
  <c r="R34" i="6" a="1"/>
  <c r="O34" i="6"/>
  <c r="P34" i="6" s="1"/>
  <c r="M34" i="6"/>
  <c r="K32" i="6"/>
  <c r="AB28" i="6"/>
  <c r="Z28" i="6"/>
  <c r="X28" i="6"/>
  <c r="T28" i="6" a="1"/>
  <c r="R28" i="6" a="1"/>
  <c r="O28" i="6"/>
  <c r="P28" i="6" s="1"/>
  <c r="M28" i="6"/>
  <c r="AB27" i="6"/>
  <c r="Z27" i="6"/>
  <c r="X27" i="6"/>
  <c r="T27" i="6" a="1"/>
  <c r="R27" i="6" a="1"/>
  <c r="O27" i="6"/>
  <c r="P27" i="6" s="1"/>
  <c r="M27" i="6"/>
  <c r="AB25" i="6"/>
  <c r="Z25" i="6"/>
  <c r="X25" i="6"/>
  <c r="T25" i="6" a="1"/>
  <c r="R25" i="6" a="1"/>
  <c r="O25" i="6"/>
  <c r="P25" i="6" s="1"/>
  <c r="M25" i="6"/>
  <c r="K23" i="6"/>
  <c r="AB19" i="6"/>
  <c r="Z19" i="6"/>
  <c r="X19" i="6"/>
  <c r="T19" i="6" a="1"/>
  <c r="R19" i="6" a="1"/>
  <c r="O19" i="6"/>
  <c r="P19" i="6" s="1"/>
  <c r="M19" i="6"/>
  <c r="AB18" i="6"/>
  <c r="Z18" i="6"/>
  <c r="X18" i="6"/>
  <c r="T18" i="6" a="1"/>
  <c r="R18" i="6" a="1"/>
  <c r="O18" i="6"/>
  <c r="P18" i="6" s="1"/>
  <c r="M18" i="6"/>
  <c r="AB17" i="6"/>
  <c r="Z17" i="6"/>
  <c r="X17" i="6"/>
  <c r="T17" i="6" a="1"/>
  <c r="R17" i="6" a="1"/>
  <c r="O17" i="6"/>
  <c r="P17" i="6" s="1"/>
  <c r="M17" i="6"/>
  <c r="AB16" i="6"/>
  <c r="Z16" i="6"/>
  <c r="X16" i="6"/>
  <c r="T16" i="6" a="1"/>
  <c r="R16" i="6" a="1"/>
  <c r="O16" i="6"/>
  <c r="P16" i="6" s="1"/>
  <c r="M16" i="6"/>
  <c r="AB15" i="6"/>
  <c r="Z15" i="6"/>
  <c r="X15" i="6"/>
  <c r="T15" i="6" a="1"/>
  <c r="R15" i="6" a="1"/>
  <c r="O15" i="6"/>
  <c r="P15" i="6" s="1"/>
  <c r="M15" i="6"/>
  <c r="AB14" i="6"/>
  <c r="Z14" i="6"/>
  <c r="X14" i="6"/>
  <c r="T14" i="6" a="1"/>
  <c r="R14" i="6" a="1"/>
  <c r="O14" i="6"/>
  <c r="P14" i="6" s="1"/>
  <c r="M14" i="6"/>
  <c r="AB13" i="6"/>
  <c r="Z13" i="6"/>
  <c r="X13" i="6"/>
  <c r="T13" i="6" a="1"/>
  <c r="R13" i="6" a="1"/>
  <c r="O13" i="6"/>
  <c r="P13" i="6" s="1"/>
  <c r="M13" i="6"/>
  <c r="AB12" i="6"/>
  <c r="Z12" i="6"/>
  <c r="X12" i="6"/>
  <c r="T12" i="6" a="1"/>
  <c r="R12" i="6" a="1"/>
  <c r="O12" i="6"/>
  <c r="P12" i="6" s="1"/>
  <c r="M12" i="6"/>
  <c r="K10" i="6"/>
  <c r="K7" i="6"/>
  <c r="F7" i="6"/>
  <c r="K6" i="6"/>
  <c r="M5" i="6"/>
  <c r="D3" i="6"/>
  <c r="AB13" i="1"/>
  <c r="Z13" i="1"/>
  <c r="X13" i="1"/>
  <c r="T13" i="1" a="1"/>
  <c r="R13" i="1" a="1"/>
  <c r="O13" i="1"/>
  <c r="P13" i="1" s="1"/>
  <c r="M13" i="1"/>
  <c r="AB14" i="1"/>
  <c r="Z14" i="1"/>
  <c r="X14" i="1"/>
  <c r="T14" i="1" a="1"/>
  <c r="R14" i="1" a="1"/>
  <c r="O14" i="1"/>
  <c r="P14" i="1" s="1"/>
  <c r="M14" i="1"/>
  <c r="AB12" i="1"/>
  <c r="Z12" i="1"/>
  <c r="X12" i="1"/>
  <c r="T12" i="1" a="1"/>
  <c r="R12" i="1" a="1"/>
  <c r="O12" i="1"/>
  <c r="P12" i="1" s="1"/>
  <c r="M12" i="1"/>
  <c r="AB35" i="1"/>
  <c r="Z35" i="1"/>
  <c r="X35" i="1"/>
  <c r="T35" i="1" a="1"/>
  <c r="R35" i="1" a="1"/>
  <c r="O35" i="1"/>
  <c r="P35" i="1" s="1"/>
  <c r="M35" i="1"/>
  <c r="AB26" i="1"/>
  <c r="Z26" i="1"/>
  <c r="X26" i="1"/>
  <c r="T26" i="1" a="1"/>
  <c r="R26" i="1" a="1"/>
  <c r="O26" i="1"/>
  <c r="P26" i="1" s="1"/>
  <c r="M26" i="1"/>
  <c r="AB25" i="1"/>
  <c r="Z25" i="1"/>
  <c r="X25" i="1"/>
  <c r="T25" i="1" a="1"/>
  <c r="R25" i="1" a="1"/>
  <c r="O25" i="1"/>
  <c r="P25" i="1" s="1"/>
  <c r="M25" i="1"/>
  <c r="AB17" i="1"/>
  <c r="Z17" i="1"/>
  <c r="X17" i="1"/>
  <c r="T17" i="1" a="1"/>
  <c r="R17" i="1" a="1"/>
  <c r="O17" i="1"/>
  <c r="P17" i="1" s="1"/>
  <c r="M17" i="1"/>
  <c r="B18" i="4"/>
  <c r="D18" i="4"/>
  <c r="B12" i="4"/>
  <c r="D12" i="4"/>
  <c r="V15" i="6" l="1"/>
  <c r="V35" i="6"/>
  <c r="I35" i="6" s="1"/>
  <c r="K35" i="6" s="1"/>
  <c r="V26" i="6"/>
  <c r="I26" i="6" s="1"/>
  <c r="K26" i="6" s="1"/>
  <c r="A20" i="6"/>
  <c r="V19" i="6"/>
  <c r="I19" i="6" s="1"/>
  <c r="K19" i="6" s="1"/>
  <c r="M39" i="6"/>
  <c r="M3" i="6" s="1"/>
  <c r="K3" i="6" s="1"/>
  <c r="V12" i="6"/>
  <c r="I12" i="6" s="1"/>
  <c r="K12" i="6" s="1"/>
  <c r="V18" i="6"/>
  <c r="I18" i="6" s="1"/>
  <c r="K18" i="6" s="1"/>
  <c r="I15" i="6"/>
  <c r="K15" i="6" s="1"/>
  <c r="V34" i="6"/>
  <c r="I34" i="6" s="1"/>
  <c r="K34" i="6" s="1"/>
  <c r="A29" i="6"/>
  <c r="V25" i="6"/>
  <c r="I25" i="6" s="1"/>
  <c r="K25" i="6" s="1"/>
  <c r="V28" i="6"/>
  <c r="I28" i="6" s="1"/>
  <c r="K28" i="6" s="1"/>
  <c r="V36" i="6"/>
  <c r="I36" i="6" s="1"/>
  <c r="K36" i="6" s="1"/>
  <c r="V16" i="6"/>
  <c r="I16" i="6" s="1"/>
  <c r="K16" i="6" s="1"/>
  <c r="A38" i="6"/>
  <c r="V14" i="6"/>
  <c r="I14" i="6" s="1"/>
  <c r="K14" i="6" s="1"/>
  <c r="V17" i="6"/>
  <c r="I17" i="6" s="1"/>
  <c r="K17" i="6" s="1"/>
  <c r="V37" i="6"/>
  <c r="I37" i="6" s="1"/>
  <c r="K37" i="6" s="1"/>
  <c r="V27" i="6"/>
  <c r="I27" i="6" s="1"/>
  <c r="K27" i="6" s="1"/>
  <c r="V13" i="6"/>
  <c r="I13" i="6" s="1"/>
  <c r="K13" i="6" s="1"/>
  <c r="V13" i="1"/>
  <c r="I13" i="1" s="1"/>
  <c r="K13" i="1" s="1"/>
  <c r="V14" i="1"/>
  <c r="I14" i="1" s="1"/>
  <c r="K14" i="1" s="1"/>
  <c r="V12" i="1"/>
  <c r="I12" i="1" s="1"/>
  <c r="K12" i="1" s="1"/>
  <c r="V35" i="1"/>
  <c r="I35" i="1" s="1"/>
  <c r="K35" i="1" s="1"/>
  <c r="V26" i="1"/>
  <c r="I26" i="1" s="1"/>
  <c r="K26" i="1" s="1"/>
  <c r="V25" i="1"/>
  <c r="I25" i="1" s="1"/>
  <c r="K25" i="1" s="1"/>
  <c r="V17" i="1"/>
  <c r="I17" i="1" s="1"/>
  <c r="K17" i="1" s="1"/>
  <c r="B20" i="4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A40" i="6" l="1"/>
  <c r="K29" i="6"/>
  <c r="K38" i="6"/>
  <c r="K20" i="6"/>
  <c r="K40" i="6" s="1"/>
  <c r="B146" i="4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X14" i="5"/>
  <c r="Z14" i="5"/>
  <c r="AB14" i="5"/>
  <c r="O15" i="5"/>
  <c r="P15" i="5" s="1"/>
  <c r="R15" i="5" a="1"/>
  <c r="T15" i="5" a="1"/>
  <c r="X15" i="5"/>
  <c r="Z15" i="5"/>
  <c r="AB15" i="5"/>
  <c r="M14" i="5"/>
  <c r="M15" i="5"/>
  <c r="AB16" i="1"/>
  <c r="Z16" i="1"/>
  <c r="X16" i="1"/>
  <c r="T16" i="1" a="1"/>
  <c r="M16" i="1"/>
  <c r="O16" i="1"/>
  <c r="P16" i="1" s="1"/>
  <c r="R16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15" i="1"/>
  <c r="AB36" i="1"/>
  <c r="AB37" i="1"/>
  <c r="AB34" i="1"/>
  <c r="AB27" i="1"/>
  <c r="AB28" i="1"/>
  <c r="AB18" i="1"/>
  <c r="AB19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8" i="5" a="1"/>
  <c r="R59" i="5" a="1"/>
  <c r="V59" i="5" s="1"/>
  <c r="R60" i="5" a="1"/>
  <c r="R61" i="5" a="1"/>
  <c r="R62" i="5" a="1"/>
  <c r="V62" i="5" s="1"/>
  <c r="R54" i="5" a="1"/>
  <c r="V54" i="5" s="1"/>
  <c r="R41" i="5" a="1"/>
  <c r="R44" i="5" a="1"/>
  <c r="R45" i="5" a="1"/>
  <c r="R46" i="5" a="1"/>
  <c r="R47" i="5" a="1"/>
  <c r="V47" i="5" s="1"/>
  <c r="R48" i="5" a="1"/>
  <c r="R40" i="5" a="1"/>
  <c r="R27" i="5" a="1"/>
  <c r="R30" i="5" a="1"/>
  <c r="R31" i="5" a="1"/>
  <c r="V31" i="5" s="1"/>
  <c r="R32" i="5" a="1"/>
  <c r="V32" i="5" s="1"/>
  <c r="R33" i="5" a="1"/>
  <c r="V33" i="5" s="1"/>
  <c r="R34" i="5" a="1"/>
  <c r="V34" i="5" s="1"/>
  <c r="R26" i="5" a="1"/>
  <c r="V26" i="5" s="1"/>
  <c r="R13" i="5" a="1"/>
  <c r="R16" i="5" a="1"/>
  <c r="V16" i="5" s="1"/>
  <c r="R17" i="5" a="1"/>
  <c r="V17" i="5" s="1"/>
  <c r="R18" i="5" a="1"/>
  <c r="V18" i="5" s="1"/>
  <c r="R19" i="5" a="1"/>
  <c r="V19" i="5" s="1"/>
  <c r="R20" i="5" a="1"/>
  <c r="V20" i="5" s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37" i="1"/>
  <c r="X37" i="1"/>
  <c r="Z36" i="1"/>
  <c r="X36" i="1"/>
  <c r="Z15" i="1"/>
  <c r="X15" i="1"/>
  <c r="Z34" i="1"/>
  <c r="X34" i="1"/>
  <c r="Z28" i="1"/>
  <c r="X28" i="1"/>
  <c r="Z27" i="1"/>
  <c r="X27" i="1"/>
  <c r="X18" i="1"/>
  <c r="Z18" i="1"/>
  <c r="X19" i="1"/>
  <c r="Z19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V60" i="5" s="1"/>
  <c r="O60" i="5"/>
  <c r="M60" i="5"/>
  <c r="T59" i="5" a="1"/>
  <c r="O59" i="5"/>
  <c r="M59" i="5"/>
  <c r="T58" i="5" a="1"/>
  <c r="O58" i="5"/>
  <c r="M58" i="5"/>
  <c r="T57" i="5" a="1"/>
  <c r="V57" i="5" s="1"/>
  <c r="O57" i="5"/>
  <c r="M57" i="5"/>
  <c r="T54" i="5" a="1"/>
  <c r="O54" i="5"/>
  <c r="M54" i="5"/>
  <c r="K52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28" i="1"/>
  <c r="P28" i="1" s="1"/>
  <c r="O18" i="1"/>
  <c r="P18" i="1" s="1"/>
  <c r="O19" i="1"/>
  <c r="P19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T46" i="5" a="1"/>
  <c r="T45" i="5" a="1"/>
  <c r="V45" i="5"/>
  <c r="T44" i="5" a="1"/>
  <c r="T41" i="5" a="1"/>
  <c r="V41" i="5"/>
  <c r="T40" i="5" a="1"/>
  <c r="T34" i="5" a="1"/>
  <c r="T33" i="5" a="1"/>
  <c r="T32" i="5" a="1"/>
  <c r="T31" i="5" a="1"/>
  <c r="T30" i="5" a="1"/>
  <c r="V30" i="5"/>
  <c r="T27" i="5" a="1"/>
  <c r="T26" i="5" a="1"/>
  <c r="T20" i="5" a="1"/>
  <c r="T19" i="5" a="1"/>
  <c r="T18" i="5" a="1"/>
  <c r="T17" i="5" a="1"/>
  <c r="T16" i="5" a="1"/>
  <c r="T13" i="5" a="1"/>
  <c r="T12" i="5" a="1"/>
  <c r="R15" i="1" a="1"/>
  <c r="R36" i="1" a="1"/>
  <c r="R37" i="1" a="1"/>
  <c r="T15" i="1" a="1"/>
  <c r="T36" i="1" a="1"/>
  <c r="T37" i="1" a="1"/>
  <c r="T34" i="1" a="1"/>
  <c r="R34" i="1" a="1"/>
  <c r="T27" i="1" a="1"/>
  <c r="T28" i="1" a="1"/>
  <c r="R27" i="1" a="1"/>
  <c r="R28" i="1" a="1"/>
  <c r="T18" i="1" a="1"/>
  <c r="T19" i="1" a="1"/>
  <c r="R18" i="1" a="1"/>
  <c r="R19" i="1" a="1"/>
  <c r="V13" i="5"/>
  <c r="V46" i="5"/>
  <c r="E8" i="4"/>
  <c r="K7" i="1"/>
  <c r="K6" i="1"/>
  <c r="F7" i="5"/>
  <c r="K38" i="5"/>
  <c r="K24" i="5"/>
  <c r="K10" i="5"/>
  <c r="K10" i="1"/>
  <c r="O37" i="1"/>
  <c r="P37" i="1" s="1"/>
  <c r="O36" i="1"/>
  <c r="P36" i="1" s="1"/>
  <c r="O15" i="1"/>
  <c r="P15" i="1" s="1"/>
  <c r="O34" i="1"/>
  <c r="P34" i="1" s="1"/>
  <c r="M37" i="1"/>
  <c r="M36" i="1"/>
  <c r="M15" i="1"/>
  <c r="M34" i="1"/>
  <c r="M28" i="1"/>
  <c r="M27" i="1"/>
  <c r="M19" i="1"/>
  <c r="M18" i="1"/>
  <c r="K32" i="1"/>
  <c r="K23" i="1"/>
  <c r="E7" i="4"/>
  <c r="E6" i="4"/>
  <c r="E5" i="4"/>
  <c r="E4" i="4"/>
  <c r="F7" i="1"/>
  <c r="V44" i="5" l="1"/>
  <c r="V40" i="5"/>
  <c r="V58" i="5"/>
  <c r="V27" i="5"/>
  <c r="V14" i="5"/>
  <c r="I14" i="5" s="1"/>
  <c r="K14" i="5" s="1"/>
  <c r="V15" i="5"/>
  <c r="V16" i="1"/>
  <c r="I16" i="1" s="1"/>
  <c r="K16" i="1" s="1"/>
  <c r="V18" i="1"/>
  <c r="I18" i="1" s="1"/>
  <c r="K18" i="1" s="1"/>
  <c r="V27" i="1"/>
  <c r="I27" i="1" s="1"/>
  <c r="K27" i="1" s="1"/>
  <c r="V28" i="1"/>
  <c r="I28" i="1" s="1"/>
  <c r="K28" i="1" s="1"/>
  <c r="V36" i="1"/>
  <c r="I36" i="1" s="1"/>
  <c r="K36" i="1" s="1"/>
  <c r="V37" i="1"/>
  <c r="I37" i="1" s="1"/>
  <c r="K37" i="1" s="1"/>
  <c r="V19" i="1"/>
  <c r="I19" i="1" s="1"/>
  <c r="K19" i="1" s="1"/>
  <c r="V15" i="1"/>
  <c r="I15" i="1" s="1"/>
  <c r="K15" i="1" s="1"/>
  <c r="V12" i="5"/>
  <c r="I12" i="5" s="1"/>
  <c r="K12" i="5" s="1"/>
  <c r="I26" i="5"/>
  <c r="K26" i="5" s="1"/>
  <c r="I59" i="5"/>
  <c r="K59" i="5" s="1"/>
  <c r="I60" i="5"/>
  <c r="K60" i="5" s="1"/>
  <c r="I32" i="5"/>
  <c r="K32" i="5" s="1"/>
  <c r="I47" i="5"/>
  <c r="K47" i="5" s="1"/>
  <c r="I20" i="5"/>
  <c r="K20" i="5" s="1"/>
  <c r="I40" i="5"/>
  <c r="K40" i="5" s="1"/>
  <c r="P57" i="5"/>
  <c r="I31" i="5"/>
  <c r="K31" i="5" s="1"/>
  <c r="I48" i="5"/>
  <c r="K48" i="5" s="1"/>
  <c r="I57" i="5"/>
  <c r="K57" i="5" s="1"/>
  <c r="I41" i="5"/>
  <c r="K41" i="5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34" i="5"/>
  <c r="K34" i="5" s="1"/>
  <c r="P34" i="5"/>
  <c r="P33" i="5"/>
  <c r="P41" i="5"/>
  <c r="I62" i="5"/>
  <c r="K62" i="5" s="1"/>
  <c r="P58" i="5"/>
  <c r="P30" i="5"/>
  <c r="I33" i="5"/>
  <c r="K33" i="5" s="1"/>
  <c r="I44" i="5"/>
  <c r="K44" i="5" s="1"/>
  <c r="I19" i="5"/>
  <c r="K19" i="5" s="1"/>
  <c r="I27" i="5"/>
  <c r="K27" i="5" s="1"/>
  <c r="I54" i="5"/>
  <c r="K54" i="5" s="1"/>
  <c r="I17" i="5"/>
  <c r="K17" i="5" s="1"/>
  <c r="I13" i="5"/>
  <c r="K13" i="5" s="1"/>
  <c r="P45" i="5"/>
  <c r="P32" i="5"/>
  <c r="I16" i="5"/>
  <c r="K16" i="5" s="1"/>
  <c r="P44" i="5"/>
  <c r="V34" i="1"/>
  <c r="I34" i="1" s="1"/>
  <c r="K34" i="1" s="1"/>
  <c r="A38" i="1"/>
  <c r="A29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5" i="5"/>
  <c r="K15" i="5" s="1"/>
  <c r="M39" i="1"/>
  <c r="M3" i="1" s="1"/>
  <c r="K3" i="1" s="1"/>
  <c r="A20" i="1"/>
  <c r="A40" i="1" l="1"/>
  <c r="K35" i="5"/>
  <c r="K49" i="5"/>
  <c r="K29" i="1"/>
  <c r="K63" i="5"/>
  <c r="K21" i="5"/>
  <c r="K20" i="1"/>
  <c r="K38" i="1"/>
  <c r="K66" i="5" l="1"/>
  <c r="K4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<sst xmlns="http://schemas.openxmlformats.org/spreadsheetml/2006/main" count="873" uniqueCount="341">
  <si>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</si>
  <si>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</si>
  <si>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</si>
  <si>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</si>
  <si>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</si>
  <si>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</si>
  <si>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</si>
  <si>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</si>
  <si>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</si>
  <si>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</si>
  <si>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</si>
  <si>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</si>
  <si>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</si>
  <si>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</si>
  <si>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</si>
  <si>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</si>
  <si>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</si>
  <si>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</si>
  <si>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</si>
  <si>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</si>
  <si>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</si>
  <si>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</si>
  <si>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</si>
  <si>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</si>
  <si>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</si>
  <si>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</si>
  <si>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</si>
  <si>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</si>
  <si>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</si>
  <si>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</si>
  <si>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</si>
  <si>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</si>
  <si>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</si>
  <si>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</si>
  <si>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</si>
  <si>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</si>
  <si>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</si>
  <si>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</si>
  <si>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</si>
  <si>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</si>
  <si>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</si>
  <si>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</si>
  <si>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</si>
  <si>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</si>
  <si>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</si>
  <si>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</si>
  <si>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</si>
  <si>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</si>
  <si>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</si>
  <si>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</si>
  <si>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</si>
  <si>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</si>
  <si>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</si>
  <si>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</si>
  <si>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</si>
  <si>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</si>
  <si>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</si>
  <si>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</si>
  <si>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</si>
  <si>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</si>
  <si>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</si>
  <si>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</si>
  <si>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</si>
  <si>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</si>
  <si>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</si>
  <si>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</si>
  <si>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</si>
  <si>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</si>
  <si>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</si>
  <si>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</si>
  <si>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</si>
  <si>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</si>
  <si>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</si>
  <si>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</si>
  <si>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</si>
  <si>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</si>
  <si>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</si>
  <si>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</si>
  <si>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</si>
  <si>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</si>
  <si>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</si>
  <si>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</si>
  <si>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</si>
  <si>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</si>
  <si>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</si>
  <si>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</si>
  <si>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</si>
  <si>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</si>
  <si>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</si>
  <si>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</si>
  <si>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</si>
  <si>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</si>
  <si>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</si>
  <si>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</si>
  <si>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</si>
  <si>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</si>
  <si>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</si>
  <si>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</si>
  <si>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</si>
  <si>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</si>
  <si>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</si>
  <si>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</si>
  <si>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</si>
  <si>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</si>
  <si>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</si>
  <si>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</si>
  <si>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</si>
  <si>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</si>
  <si>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</si>
  <si>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</si>
  <si>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</si>
  <si>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</si>
  <si>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</si>
  <si>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</si>
  <si>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</si>
  <si>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</si>
  <si>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</si>
  <si>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</si>
  <si>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</si>
  <si>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</si>
  <si>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</si>
  <si>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</si>
  <si>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</si>
  <si>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</si>
  <si>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</si>
  <si>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</si>
  <si>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</si>
  <si>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</si>
  <si>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</si>
  <si>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</si>
  <si>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</si>
  <si>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</si>
  <si>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</si>
  <si>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</si>
  <si>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</si>
  <si>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</si>
  <si>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</si>
  <si>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</si>
  <si>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</si>
  <si>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</si>
  <si>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</si>
  <si>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</si>
  <si>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</si>
  <si>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</si>
  <si>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</si>
  <si>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</si>
  <si>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</si>
  <si>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</si>
  <si>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</si>
  <si>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</si>
  <si>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</si>
  <si>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</si>
  <si>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</si>
  <si>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</si>
  <si>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</si>
  <si>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</si>
  <si>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</si>
  <si>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</si>
  <si>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</si>
  <si>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</si>
  <si>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</si>
  <si>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</si>
  <si>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</si>
  <si>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</si>
  <si>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</si>
  <si>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</si>
  <si>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</si>
  <si>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</si>
  <si>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</si>
  <si>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</si>
  <si>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</si>
  <si>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</si>
  <si>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</si>
  <si>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</si>
  <si>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</si>
  <si>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</si>
  <si>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</si>
  <si>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</si>
  <si>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</si>
  <si>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</si>
  <si>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</si>
  <si>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</si>
  <si>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</si>
  <si>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</si>
  <si>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</si>
  <si>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</si>
  <si>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</si>
  <si>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</si>
  <si>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</si>
  <si>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</si>
  <si>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</si>
  <si>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</si>
  <si>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</si>
  <si>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</si>
  <si>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</si>
  <si>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</si>
  <si>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</si>
  <si>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</si>
  <si>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</si>
  <si>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</si>
  <si>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</si>
  <si>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</si>
  <si>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</si>
  <si>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</si>
  <si>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</si>
  <si>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</si>
  <si>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</si>
  <si>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</si>
  <si>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</si>
  <si>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</si>
  <si>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</si>
  <si>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</si>
  <si>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</si>
  <si>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</si>
  <si>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</si>
  <si>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</si>
  <si>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</si>
  <si>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</si>
  <si>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</si>
  <si>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</si>
  <si>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</si>
  <si>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</si>
  <si>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</si>
  <si>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</si>
  <si>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</si>
  <si>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</si>
  <si>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</si>
  <si>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</si>
  <si>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</si>
  <si>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</si>
  <si>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</si>
  <si>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</si>
  <si>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</si>
  <si>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</si>
  <si>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</si>
  <si>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</si>
  <si>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</si>
  <si>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</si>
  <si>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</si>
  <si>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</si>
  <si>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</si>
  <si>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</si>
  <si>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</si>
  <si>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</si>
  <si>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</si>
  <si>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</si>
  <si>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</si>
  <si>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</si>
  <si>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</si>
  <si>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</si>
  <si>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</si>
  <si>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</si>
  <si>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</si>
  <si>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</si>
  <si>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</si>
  <si>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</si>
  <si>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</si>
  <si>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</si>
  <si>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</si>
  <si>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</si>
  <si>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</si>
  <si>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</si>
  <si>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</si>
  <si>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</si>
  <si>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</si>
  <si>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</si>
  <si>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</si>
  <si>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</si>
  <si>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</si>
  <si>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</si>
  <si>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</si>
  <si>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</si>
  <si>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</si>
  <si>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</si>
  <si>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</si>
  <si>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</si>
  <si>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</si>
  <si>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</si>
  <si>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</si>
  <si>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</si>
  <si>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</si>
  <si>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</si>
  <si>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</si>
  <si>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</si>
  <si>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</si>
  <si>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</si>
  <si>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</si>
  <si>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</si>
  <si>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</si>
  <si>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</si>
  <si>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</si>
  <si>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</si>
  <si>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</si>
  <si>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</si>
  <si>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</si>
  <si>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</si>
  <si>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</si>
  <si>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</si>
  <si>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</si>
  <si>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</si>
  <si>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</si>
  <si>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</si>
  <si>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</si>
  <si>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</si>
  <si>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</si>
  <si>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</si>
  <si>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</si>
  <si>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</si>
  <si>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</si>
  <si>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</si>
  <si>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</si>
  <si>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</si>
  <si>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</si>
  <si>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</si>
  <si>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</si>
  <si>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</si>
  <si>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</si>
  <si>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</si>
  <si>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</si>
  <si>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</si>
  <si>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</si>
  <si>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</si>
  <si>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</si>
  <si>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</si>
  <si>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</si>
  <si>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</si>
  <si>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</si>
  <si>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</si>
  <si>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</si>
  <si>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</si>
  <si>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</si>
  <si>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</si>
  <si>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Dragoons</t>
  </si>
  <si>
    <t>Foot Regiments</t>
  </si>
  <si>
    <t>Artillery</t>
  </si>
  <si>
    <t>1644 AD</t>
  </si>
  <si>
    <t>Prince Rupert</t>
  </si>
  <si>
    <t xml:space="preserve">Veteran Foot </t>
  </si>
  <si>
    <t>Horse</t>
  </si>
  <si>
    <t>Horse*</t>
  </si>
  <si>
    <t>Commanded out musketeers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</si>
</sst>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19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9" xfId="0" applyFont="1" applyBorder="1" applyAlignment="1">
      <alignment horizontal="center" vertical="center"/>
    </xf>
    <xf numFmtId="164" fontId="8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3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10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11" fillId="2" borderId="1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10" xfId="0" applyFont="1" applyFill="1" applyBorder="1" applyAlignment="1" applyProtection="1">
      <alignment horizontal="center"/>
      <protection hidden="1"/>
    </xf>
    <xf numFmtId="0" fontId="11" fillId="2" borderId="12" xfId="0" applyFont="1" applyFill="1" applyBorder="1" applyAlignment="1" applyProtection="1">
      <alignment horizontal="center"/>
      <protection hidden="1"/>
    </xf>
    <xf numFmtId="0" fontId="13" fillId="3" borderId="10" xfId="0" applyFont="1" applyFill="1" applyBorder="1" applyAlignment="1" applyProtection="1">
      <alignment horizontal="center"/>
      <protection hidden="1"/>
    </xf>
    <xf numFmtId="0" fontId="13" fillId="3" borderId="11" xfId="0" applyFont="1" applyFill="1" applyBorder="1"/>
    <xf numFmtId="1" fontId="13" fillId="3" borderId="12" xfId="0" applyNumberFormat="1" applyFont="1" applyFill="1" applyBorder="1" applyAlignment="1" applyProtection="1">
      <alignment horizontal="center"/>
      <protection hidden="1"/>
    </xf>
    <xf numFmtId="0" fontId="12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4" fillId="2" borderId="0" xfId="0" applyFont="1" applyFill="1"/>
    <xf numFmtId="14" fontId="0" fillId="0" borderId="0" xfId="0" applyNumberFormat="1" applyAlignment="1">
      <alignment horizontal="center"/>
    </xf>
    <xf numFmtId="0" fontId="1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6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0" fillId="0" borderId="46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hidden="1"/>
    </xf>
    <xf numFmtId="0" fontId="2" fillId="0" borderId="4" xfId="0" applyFont="1" applyBorder="1" applyProtection="1">
      <protection locked="0" hidden="1"/>
    </xf>
    <xf numFmtId="164" fontId="17" fillId="0" borderId="9" xfId="0" applyNumberFormat="1" applyFont="1" applyBorder="1" applyAlignment="1" applyProtection="1">
      <alignment horizontal="center" vertical="center"/>
      <protection hidden="1"/>
    </xf>
    <xf numFmtId="0" fontId="2" fillId="0" borderId="0" xfId="0" applyFont="1"/>
    <xf numFmtId="0" fontId="16" fillId="2" borderId="14" xfId="0" applyFont="1" applyFill="1" applyBorder="1" applyAlignment="1">
      <alignment horizontal="center"/>
    </xf>
    <xf numFmtId="0" fontId="2" fillId="0" borderId="17" xfId="0" applyFont="1" applyBorder="1" applyAlignment="1" applyProtection="1">
      <alignment horizontal="center"/>
      <protection locked="0" hidden="1"/>
    </xf>
    <xf numFmtId="0" fontId="2" fillId="0" borderId="17" xfId="0" applyFont="1" applyBorder="1" applyAlignment="1" applyProtection="1">
      <alignment horizontal="center"/>
      <protection hidden="1"/>
    </xf>
    <xf numFmtId="0" fontId="2" fillId="0" borderId="30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locked="0" hidden="1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11" fillId="2" borderId="2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2" fillId="0" borderId="7" xfId="0" applyFont="1" applyBorder="1" applyProtection="1">
      <protection locked="0" hidden="1"/>
    </xf>
    <xf numFmtId="0" fontId="2" fillId="0" borderId="5" xfId="0" applyFont="1" applyBorder="1" applyProtection="1">
      <protection locked="0" hidden="1"/>
    </xf>
    <xf numFmtId="0" fontId="2" fillId="0" borderId="8" xfId="0" applyFont="1" applyBorder="1" applyProtection="1">
      <protection locked="0" hidden="1"/>
    </xf>
    <xf numFmtId="0" fontId="1" fillId="0" borderId="7" xfId="0" applyFont="1" applyBorder="1" applyAlignment="1" applyProtection="1">
      <alignment horizontal="center"/>
      <protection locked="0" hidden="1"/>
    </xf>
    <xf numFmtId="0" fontId="2" fillId="0" borderId="5" xfId="0" applyFont="1" applyBorder="1" applyAlignment="1" applyProtection="1">
      <alignment horizontal="center"/>
      <protection locked="0" hidden="1"/>
    </xf>
    <xf numFmtId="0" fontId="2" fillId="0" borderId="8" xfId="0" applyFont="1" applyBorder="1" applyAlignment="1" applyProtection="1">
      <alignment horizontal="center"/>
      <protection locked="0" hidden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2" fillId="0" borderId="16" xfId="0" applyFont="1" applyBorder="1" applyAlignment="1" applyProtection="1">
      <alignment horizontal="center"/>
      <protection locked="0" hidden="1"/>
    </xf>
    <xf numFmtId="0" fontId="2" fillId="0" borderId="17" xfId="0" applyFont="1" applyBorder="1" applyAlignment="1" applyProtection="1">
      <alignment horizontal="center"/>
      <protection locked="0" hidden="1"/>
    </xf>
    <xf numFmtId="0" fontId="12" fillId="0" borderId="17" xfId="0" applyFont="1" applyBorder="1" applyAlignment="1">
      <alignment horizontal="center"/>
    </xf>
    <xf numFmtId="0" fontId="2" fillId="0" borderId="18" xfId="0" applyFont="1" applyBorder="1" applyAlignment="1" applyProtection="1">
      <alignment horizontal="center"/>
      <protection locked="0" hidden="1"/>
    </xf>
    <xf numFmtId="0" fontId="2" fillId="0" borderId="6" xfId="0" applyFont="1" applyBorder="1" applyAlignment="1" applyProtection="1">
      <alignment horizontal="center"/>
      <protection locked="0" hidden="1"/>
    </xf>
    <xf numFmtId="0" fontId="12" fillId="0" borderId="6" xfId="0" applyFont="1" applyBorder="1" applyAlignment="1">
      <alignment horizontal="center"/>
    </xf>
    <xf numFmtId="0" fontId="11" fillId="2" borderId="1" xfId="0" applyFont="1" applyFill="1" applyBorder="1"/>
    <xf numFmtId="0" fontId="11" fillId="2" borderId="2" xfId="0" applyFont="1" applyFill="1" applyBorder="1"/>
    <xf numFmtId="0" fontId="0" fillId="0" borderId="29" xfId="0" applyBorder="1"/>
    <xf numFmtId="0" fontId="0" fillId="0" borderId="29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11" fillId="2" borderId="11" xfId="0" applyFont="1" applyFill="1" applyBorder="1"/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23" xfId="0" applyNumberFormat="1" applyBorder="1" applyAlignment="1" applyProtection="1">
      <alignment horizontal="center"/>
      <protection hidden="1"/>
    </xf>
    <xf numFmtId="1" fontId="0" fillId="0" borderId="25" xfId="0" applyNumberFormat="1" applyBorder="1" applyAlignment="1" applyProtection="1">
      <alignment horizontal="center"/>
      <protection hidden="1"/>
    </xf>
    <xf numFmtId="0" fontId="0" fillId="0" borderId="42" xfId="0" applyBorder="1" applyProtection="1">
      <protection locked="0"/>
    </xf>
    <xf numFmtId="0" fontId="0" fillId="0" borderId="48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0" fillId="0" borderId="37" xfId="0" applyBorder="1" applyProtection="1">
      <protection locked="0" hidden="1"/>
    </xf>
    <xf numFmtId="0" fontId="0" fillId="0" borderId="38" xfId="0" applyBorder="1" applyProtection="1">
      <protection locked="0" hidden="1"/>
    </xf>
    <xf numFmtId="1" fontId="0" fillId="0" borderId="37" xfId="0" applyNumberFormat="1" applyBorder="1" applyAlignment="1" applyProtection="1">
      <alignment horizontal="center"/>
      <protection hidden="1"/>
    </xf>
    <xf numFmtId="1" fontId="0" fillId="0" borderId="3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7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3" fillId="2" borderId="11" xfId="0" applyFont="1" applyFill="1" applyBorder="1"/>
    <xf numFmtId="0" fontId="0" fillId="0" borderId="11" xfId="0" applyBorder="1"/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8" xfId="0" applyBorder="1" applyProtection="1">
      <protection locked="0"/>
    </xf>
    <xf numFmtId="0" fontId="11" fillId="0" borderId="11" xfId="0" applyFont="1" applyBorder="1"/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12" fillId="0" borderId="11" xfId="0" applyFont="1" applyBorder="1"/>
    <xf numFmtId="0" fontId="13" fillId="3" borderId="11" xfId="0" applyFont="1" applyFill="1" applyBorder="1"/>
    <xf numFmtId="0" fontId="0" fillId="0" borderId="28" xfId="0" applyBorder="1"/>
    <xf numFmtId="0" fontId="0" fillId="0" borderId="5" xfId="0" applyBorder="1" applyProtection="1">
      <protection locked="0" hidden="1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6" fillId="0" borderId="17" xfId="0" applyFont="1" applyBorder="1" applyAlignment="1">
      <alignment horizontal="center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6" fillId="0" borderId="6" xfId="0" applyFont="1" applyBorder="1" applyAlignment="1">
      <alignment horizontal="center"/>
    </xf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685800</xdr:colOff>
      <xdr:row>7</xdr:row>
      <xdr:rowOff>13598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4E33C-AC86-0C45-BE47-59BB6FCF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625600" cy="15121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685800</xdr:colOff>
      <xdr:row>7</xdr:row>
      <xdr:rowOff>13598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7F7CA-DF26-2945-BA1C-D0260727696A}">
  <sheetPr>
    <pageSetUpPr fitToPage="1"/>
  </sheetPr>
  <dimension ref="A1:AB41"/>
  <sheetViews>
    <sheetView tabSelected="1" topLeftCell="A16" zoomScaleNormal="100" workbookViewId="0">
      <selection activeCell="K3" sqref="K3"/>
    </sheetView>
  </sheetViews>
  <sheetFormatPr defaultColWidth="8.77734375" defaultRowHeight="14.4" x14ac:dyDescent="0.3"/>
  <cols>
    <col min="1" max="1" width="12.33203125" customWidth="1"/>
    <col min="2" max="2" width="25.77734375" customWidth="1"/>
    <col min="3" max="3" width="7" customWidth="1"/>
    <col min="4" max="4" width="17.10937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18" customWidth="1"/>
    <col min="13" max="13" width="20.3320312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109375" hidden="1" customWidth="1"/>
    <col min="21" max="28" width="8.77734375" hidden="1" customWidth="1"/>
    <col min="29" max="30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8" t="s">
        <v>1</v>
      </c>
      <c r="E2" s="88"/>
      <c r="F2" s="88"/>
      <c r="G2" s="89" t="s">
        <v>2</v>
      </c>
      <c r="H2" s="89"/>
      <c r="I2" s="89"/>
      <c r="J2" s="89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72">
        <v>34</v>
      </c>
      <c r="D3" s="90" t="str">
        <f>VLOOKUP(C3,'Armies v4'!A1:B92,2,FALSE)</f>
        <v>Later English Civil War Royalist</v>
      </c>
      <c r="E3" s="91"/>
      <c r="F3" s="92"/>
      <c r="G3" s="93">
        <v>1643</v>
      </c>
      <c r="H3" s="94"/>
      <c r="I3" s="94"/>
      <c r="J3" s="95"/>
      <c r="K3" s="73">
        <f>ROUNDDOWN(SUM(IF(H10="Competent",1,IF(H10="Brilliant",2,IF(H10="Strategist",2,0))),IF(H23="Competent",1,IF(H23="Brilliant",2,IF(H23="Strategist",2,0))),IF(H32="Competent",1,IF(H32="Brilliant",2,IF(H32="Strategist",2,0))))/2+IF(H10="Strategist",1,IF(H23="Strategist",1,IF(H32="Strategist",1,0))),0)+M3</f>
        <v>1</v>
      </c>
      <c r="M3" s="14">
        <f>IF(M39&gt;=6,2,IF(M39&gt;=2,1,0))</f>
        <v>0</v>
      </c>
    </row>
    <row r="4" spans="1:28" ht="10.199999999999999" customHeight="1" thickTop="1" thickBot="1" x14ac:dyDescent="0.4">
      <c r="A4" s="57"/>
      <c r="B4" s="57"/>
      <c r="C4" s="74"/>
      <c r="D4" s="74"/>
      <c r="E4" s="74"/>
      <c r="F4" s="74"/>
      <c r="G4" s="74"/>
      <c r="H4" s="74"/>
      <c r="I4" s="74"/>
      <c r="J4" s="74"/>
      <c r="K4" s="74"/>
    </row>
    <row r="5" spans="1:28" ht="19.2" thickTop="1" thickBot="1" x14ac:dyDescent="0.4">
      <c r="A5" s="50"/>
      <c r="B5" s="58" t="s">
        <v>7</v>
      </c>
      <c r="C5" s="96" t="s">
        <v>8</v>
      </c>
      <c r="D5" s="97"/>
      <c r="E5" s="97"/>
      <c r="F5" s="38" t="s">
        <v>9</v>
      </c>
      <c r="G5" s="75"/>
      <c r="H5" s="98" t="s">
        <v>10</v>
      </c>
      <c r="I5" s="99"/>
      <c r="J5" s="38" t="s">
        <v>11</v>
      </c>
      <c r="K5" s="37" t="s">
        <v>12</v>
      </c>
      <c r="M5" s="14" t="b">
        <f>IF(F6="fortified",1)</f>
        <v>0</v>
      </c>
    </row>
    <row r="6" spans="1:28" ht="16.2" thickTop="1" x14ac:dyDescent="0.3">
      <c r="C6" s="100" t="s">
        <v>142</v>
      </c>
      <c r="D6" s="101"/>
      <c r="E6" s="76" t="s">
        <v>13</v>
      </c>
      <c r="F6" s="76" t="s">
        <v>146</v>
      </c>
      <c r="G6" s="77"/>
      <c r="H6" s="102" t="s">
        <v>14</v>
      </c>
      <c r="I6" s="102"/>
      <c r="J6" s="76">
        <v>0</v>
      </c>
      <c r="K6" s="78">
        <f>J6*1</f>
        <v>0</v>
      </c>
      <c r="N6" s="26"/>
    </row>
    <row r="7" spans="1:28" ht="16.2" thickBot="1" x14ac:dyDescent="0.35">
      <c r="C7" s="103" t="s">
        <v>153</v>
      </c>
      <c r="D7" s="104"/>
      <c r="E7" s="79" t="s">
        <v>13</v>
      </c>
      <c r="F7" s="49">
        <f>IFERROR(VLOOKUP(F6,Troops!N4:O5,2,FALSE),"0")</f>
        <v>0</v>
      </c>
      <c r="G7" s="80"/>
      <c r="H7" s="105" t="s">
        <v>15</v>
      </c>
      <c r="I7" s="105"/>
      <c r="J7" s="79">
        <v>0</v>
      </c>
      <c r="K7" s="81">
        <f>J7*0.5</f>
        <v>0</v>
      </c>
    </row>
    <row r="8" spans="1:28" ht="7.95" customHeight="1" thickTop="1" thickBot="1" x14ac:dyDescent="0.35">
      <c r="C8" s="74"/>
      <c r="D8" s="74"/>
      <c r="E8" s="74"/>
      <c r="F8" s="74"/>
      <c r="G8" s="74"/>
      <c r="H8" s="74"/>
      <c r="I8" s="74"/>
      <c r="J8" s="74"/>
      <c r="K8" s="74"/>
    </row>
    <row r="9" spans="1:28" ht="16.2" thickTop="1" x14ac:dyDescent="0.3">
      <c r="A9" s="106" t="s">
        <v>16</v>
      </c>
      <c r="B9" s="107"/>
      <c r="C9" s="107"/>
      <c r="D9" s="107"/>
      <c r="E9" s="107" t="s">
        <v>17</v>
      </c>
      <c r="F9" s="107"/>
      <c r="G9" s="39"/>
      <c r="H9" s="40" t="s">
        <v>18</v>
      </c>
      <c r="I9" s="88" t="s">
        <v>19</v>
      </c>
      <c r="J9" s="8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08" t="s">
        <v>336</v>
      </c>
      <c r="C10" s="108"/>
      <c r="D10" s="108"/>
      <c r="E10" s="109"/>
      <c r="F10" s="109"/>
      <c r="G10" s="109"/>
      <c r="H10" s="55" t="s">
        <v>150</v>
      </c>
      <c r="I10" s="110" t="s">
        <v>13</v>
      </c>
      <c r="J10" s="110"/>
      <c r="K10" s="8">
        <f>VLOOKUP(H10,Troops!$H$3:$I$7,2,FALSE)+VLOOKUP(I10,Troops!$K$3:$L$8,2,FALSE)</f>
        <v>3</v>
      </c>
      <c r="M10" s="28"/>
      <c r="N10" s="28"/>
    </row>
    <row r="11" spans="1:28" ht="16.8" thickTop="1" thickBot="1" x14ac:dyDescent="0.35">
      <c r="A11" s="41" t="s">
        <v>27</v>
      </c>
      <c r="B11" s="111" t="s">
        <v>28</v>
      </c>
      <c r="C11" s="111"/>
      <c r="D11" s="111"/>
      <c r="E11" s="111" t="s">
        <v>29</v>
      </c>
      <c r="F11" s="111"/>
      <c r="G11" s="42" t="s">
        <v>30</v>
      </c>
      <c r="H11" s="43" t="s">
        <v>31</v>
      </c>
      <c r="I11" s="97" t="s">
        <v>12</v>
      </c>
      <c r="J11" s="97"/>
      <c r="K11" s="37" t="s">
        <v>32</v>
      </c>
      <c r="M11" s="28"/>
      <c r="N11" s="28"/>
    </row>
    <row r="12" spans="1:28" ht="15" hidden="1" thickTop="1" x14ac:dyDescent="0.3">
      <c r="A12" s="22">
        <v>0</v>
      </c>
      <c r="B12" s="112" t="s">
        <v>338</v>
      </c>
      <c r="C12" s="113"/>
      <c r="D12" s="114"/>
      <c r="E12" s="115" t="s">
        <v>282</v>
      </c>
      <c r="F12" s="116"/>
      <c r="G12" s="31" t="s">
        <v>13</v>
      </c>
      <c r="H12" s="25" t="s">
        <v>154</v>
      </c>
      <c r="I12" s="117">
        <f t="shared" ref="I12:I14" si="0">IFERROR(R12+T12+V12+X12+Z12+AB12,"-")</f>
        <v>13</v>
      </c>
      <c r="J12" s="118"/>
      <c r="K12" s="82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1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13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ht="15" thickTop="1" x14ac:dyDescent="0.3">
      <c r="A13" s="65">
        <v>2</v>
      </c>
      <c r="B13" s="119" t="s">
        <v>338</v>
      </c>
      <c r="C13" s="120"/>
      <c r="D13" s="121"/>
      <c r="E13" s="122" t="s">
        <v>282</v>
      </c>
      <c r="F13" s="123"/>
      <c r="G13" s="66" t="s">
        <v>13</v>
      </c>
      <c r="H13" s="67" t="s">
        <v>13</v>
      </c>
      <c r="I13" s="124">
        <f t="shared" si="0"/>
        <v>11</v>
      </c>
      <c r="J13" s="125"/>
      <c r="K13" s="10">
        <f>IFERROR(SUM(A13*I13),"N/A")</f>
        <v>22</v>
      </c>
      <c r="M13" s="28">
        <f>VLOOKUP(E13,Troops!$A$3:$G$158,5,FALSE)*A13</f>
        <v>0</v>
      </c>
      <c r="N13" s="28"/>
      <c r="O13" s="14">
        <f>VLOOKUP(E13,Troops!$A$3:$F$158,6,FALSE)</f>
        <v>1</v>
      </c>
      <c r="P13" s="14">
        <f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11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70">
        <v>1</v>
      </c>
      <c r="B14" s="83" t="s">
        <v>338</v>
      </c>
      <c r="C14" s="84"/>
      <c r="D14" s="85"/>
      <c r="E14" s="126" t="s">
        <v>265</v>
      </c>
      <c r="F14" s="127"/>
      <c r="G14" s="63" t="s">
        <v>13</v>
      </c>
      <c r="H14" s="64" t="s">
        <v>13</v>
      </c>
      <c r="I14" s="128">
        <f t="shared" si="0"/>
        <v>9</v>
      </c>
      <c r="J14" s="129"/>
      <c r="K14" s="71">
        <f>IFERROR(SUM(A14*I14),"N/A")</f>
        <v>9</v>
      </c>
      <c r="M14" s="28">
        <f>VLOOKUP(E14,Troops!$A$3:$G$158,5,FALSE)*A14</f>
        <v>0</v>
      </c>
      <c r="N14" s="28"/>
      <c r="O14" s="14">
        <f>VLOOKUP(E14,Troops!$A$3:$F$158,6,FALSE)</f>
        <v>1</v>
      </c>
      <c r="P14" s="14">
        <f>O14*A14</f>
        <v>1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9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83" t="s">
        <v>332</v>
      </c>
      <c r="C15" s="84"/>
      <c r="D15" s="85"/>
      <c r="E15" s="126" t="s">
        <v>252</v>
      </c>
      <c r="F15" s="127"/>
      <c r="G15" s="32" t="s">
        <v>13</v>
      </c>
      <c r="H15" s="29" t="s">
        <v>13</v>
      </c>
      <c r="I15" s="86">
        <f>IFERROR(R15+T15+V15+X15+Z15+AB15,"-")</f>
        <v>6</v>
      </c>
      <c r="J15" s="87"/>
      <c r="K15" s="9">
        <f>IFERROR(SUM(A15*I15),"N/A")</f>
        <v>6</v>
      </c>
      <c r="M15" s="28">
        <f>VLOOKUP(E15,Troops!$A$3:$G$158,5,FALSE)*A15</f>
        <v>1</v>
      </c>
      <c r="N15" s="28"/>
      <c r="O15" s="14">
        <f>VLOOKUP(E15,Troops!$A$3:$F$158,6,FALSE)</f>
        <v>1</v>
      </c>
      <c r="P15" s="14">
        <f>O15*A15</f>
        <v>1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6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>
        <v>2</v>
      </c>
      <c r="B16" s="83" t="s">
        <v>333</v>
      </c>
      <c r="C16" s="84"/>
      <c r="D16" s="85"/>
      <c r="E16" s="83" t="s">
        <v>230</v>
      </c>
      <c r="F16" s="85"/>
      <c r="G16" s="32" t="s">
        <v>13</v>
      </c>
      <c r="H16" s="29" t="s">
        <v>13</v>
      </c>
      <c r="I16" s="86">
        <f t="shared" ref="I16" si="1">IFERROR(R16+T16+V16+X16+Z16+AB16,"-")</f>
        <v>16</v>
      </c>
      <c r="J16" s="87"/>
      <c r="K16" s="9">
        <f>IFERROR(SUM(A16*I16),"N/A")</f>
        <v>32</v>
      </c>
      <c r="M16" s="28">
        <f>VLOOKUP(E16,Troops!$A$3:$G$158,5,FALSE)*A16</f>
        <v>0</v>
      </c>
      <c r="N16" s="28"/>
      <c r="O16" s="14">
        <f>VLOOKUP(E16,Troops!$A$3:$F$158,6,FALSE)</f>
        <v>2</v>
      </c>
      <c r="P16" s="14">
        <f t="shared" ref="P16:P19" si="2">O16*A16</f>
        <v>4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16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83" t="s">
        <v>334</v>
      </c>
      <c r="C17" s="84"/>
      <c r="D17" s="85"/>
      <c r="E17" s="130" t="s">
        <v>244</v>
      </c>
      <c r="F17" s="131"/>
      <c r="G17" s="32" t="s">
        <v>13</v>
      </c>
      <c r="H17" s="29" t="s">
        <v>13</v>
      </c>
      <c r="I17" s="86">
        <f>IFERROR(R17+T17+V17+X17+Z17+AB17,"-")</f>
        <v>10</v>
      </c>
      <c r="J17" s="87"/>
      <c r="K17" s="9">
        <f t="shared" ref="K17:K19" si="3">IFERROR(SUM(A17*I17),"N/A")</f>
        <v>10</v>
      </c>
      <c r="M17" s="28">
        <f>VLOOKUP(E17,Troops!$A$3:$G$158,5,FALSE)*A17</f>
        <v>0</v>
      </c>
      <c r="N17" s="28"/>
      <c r="O17" s="14">
        <f>VLOOKUP(E17,Troops!$A$3:$F$158,6,FALSE)</f>
        <v>1</v>
      </c>
      <c r="P17" s="14">
        <f t="shared" si="2"/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10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3"/>
      <c r="C18" s="84"/>
      <c r="D18" s="85"/>
      <c r="E18" s="130" t="s">
        <v>13</v>
      </c>
      <c r="F18" s="131"/>
      <c r="G18" s="32" t="s">
        <v>13</v>
      </c>
      <c r="H18" s="29" t="s">
        <v>13</v>
      </c>
      <c r="I18" s="86">
        <f t="shared" ref="I18:I19" si="4">IFERROR(R18+T18+V18+X18+Z18+AB18,"-")</f>
        <v>0</v>
      </c>
      <c r="J18" s="87"/>
      <c r="K18" s="9">
        <f t="shared" si="3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ht="15" thickBot="1" x14ac:dyDescent="0.35">
      <c r="A19" s="24"/>
      <c r="B19" s="132"/>
      <c r="C19" s="133"/>
      <c r="D19" s="134"/>
      <c r="E19" s="135" t="s">
        <v>13</v>
      </c>
      <c r="F19" s="136"/>
      <c r="G19" s="33" t="s">
        <v>13</v>
      </c>
      <c r="H19" s="30" t="s">
        <v>13</v>
      </c>
      <c r="I19" s="124">
        <f t="shared" si="4"/>
        <v>0</v>
      </c>
      <c r="J19" s="125"/>
      <c r="K19" s="10">
        <f t="shared" si="3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6.8" thickTop="1" thickBot="1" x14ac:dyDescent="0.35">
      <c r="A20" s="44">
        <f>SUM(P$12:P$19)</f>
        <v>9</v>
      </c>
      <c r="B20" s="137"/>
      <c r="C20" s="138"/>
      <c r="D20" s="138"/>
      <c r="E20" s="138"/>
      <c r="F20" s="138"/>
      <c r="G20" s="138"/>
      <c r="H20" s="138"/>
      <c r="I20" s="138"/>
      <c r="J20" s="138"/>
      <c r="K20" s="45">
        <f>SUM(K12:K19)+K10</f>
        <v>82</v>
      </c>
      <c r="M20" s="28"/>
      <c r="N20" s="28"/>
    </row>
    <row r="21" spans="1:28" ht="7.95" customHeight="1" thickTop="1" thickBot="1" x14ac:dyDescent="0.35">
      <c r="A21" s="2"/>
      <c r="B21" s="3"/>
      <c r="K21" s="2"/>
      <c r="M21" s="28"/>
      <c r="N21" s="28"/>
    </row>
    <row r="22" spans="1:28" ht="16.2" thickTop="1" x14ac:dyDescent="0.3">
      <c r="A22" s="106" t="s">
        <v>33</v>
      </c>
      <c r="B22" s="107"/>
      <c r="C22" s="107"/>
      <c r="D22" s="107"/>
      <c r="E22" s="107" t="s">
        <v>17</v>
      </c>
      <c r="F22" s="107"/>
      <c r="G22" s="39"/>
      <c r="H22" s="40" t="s">
        <v>18</v>
      </c>
      <c r="I22" s="88" t="s">
        <v>19</v>
      </c>
      <c r="J22" s="88"/>
      <c r="K22" s="36" t="s">
        <v>12</v>
      </c>
      <c r="M22" s="28"/>
      <c r="N22" s="28"/>
      <c r="O22" s="11" t="s">
        <v>5</v>
      </c>
      <c r="P22" s="11" t="s">
        <v>21</v>
      </c>
      <c r="R22" s="11" t="s">
        <v>22</v>
      </c>
      <c r="T22" s="11" t="s">
        <v>23</v>
      </c>
      <c r="V22" s="62" t="s">
        <v>12</v>
      </c>
      <c r="W22" s="62"/>
      <c r="X22" s="62" t="s">
        <v>24</v>
      </c>
      <c r="Y22" s="62"/>
      <c r="Z22" s="62" t="s">
        <v>25</v>
      </c>
      <c r="AB22" s="62" t="s">
        <v>26</v>
      </c>
    </row>
    <row r="23" spans="1:28" ht="15" thickBot="1" x14ac:dyDescent="0.35">
      <c r="A23" s="1"/>
      <c r="B23" s="108"/>
      <c r="C23" s="108"/>
      <c r="D23" s="108"/>
      <c r="E23" s="109"/>
      <c r="F23" s="109"/>
      <c r="G23" s="109"/>
      <c r="H23" s="55" t="s">
        <v>150</v>
      </c>
      <c r="I23" s="110" t="s">
        <v>13</v>
      </c>
      <c r="J23" s="110"/>
      <c r="K23" s="8">
        <f>VLOOKUP(H23,Troops!$H$3:$I$7,2,FALSE)+VLOOKUP(I23,Troops!$K$3:$L$8,2,FALSE)</f>
        <v>3</v>
      </c>
      <c r="M23" s="28"/>
      <c r="N23" s="28"/>
    </row>
    <row r="24" spans="1:28" ht="16.8" thickTop="1" thickBot="1" x14ac:dyDescent="0.35">
      <c r="A24" s="41" t="s">
        <v>27</v>
      </c>
      <c r="B24" s="111" t="s">
        <v>28</v>
      </c>
      <c r="C24" s="111"/>
      <c r="D24" s="111"/>
      <c r="E24" s="111" t="s">
        <v>29</v>
      </c>
      <c r="F24" s="111"/>
      <c r="G24" s="42" t="s">
        <v>30</v>
      </c>
      <c r="H24" s="43" t="s">
        <v>31</v>
      </c>
      <c r="I24" s="97" t="s">
        <v>12</v>
      </c>
      <c r="J24" s="97"/>
      <c r="K24" s="37" t="s">
        <v>32</v>
      </c>
      <c r="M24" s="28"/>
      <c r="N24" s="28"/>
    </row>
    <row r="25" spans="1:28" ht="15" thickTop="1" x14ac:dyDescent="0.3">
      <c r="A25" s="23">
        <v>3</v>
      </c>
      <c r="B25" s="83" t="s">
        <v>337</v>
      </c>
      <c r="C25" s="84"/>
      <c r="D25" s="85"/>
      <c r="E25" s="83" t="s">
        <v>230</v>
      </c>
      <c r="F25" s="85"/>
      <c r="G25" s="32" t="s">
        <v>13</v>
      </c>
      <c r="H25" s="29" t="s">
        <v>154</v>
      </c>
      <c r="I25" s="86">
        <f t="shared" ref="I25:I28" si="5">IFERROR(R25+T25+V25+X25+Z25+AB25,"-")</f>
        <v>19</v>
      </c>
      <c r="J25" s="87"/>
      <c r="K25" s="9">
        <f>IFERROR(SUM(A25*I25),"N/A")</f>
        <v>57</v>
      </c>
      <c r="M25" s="28">
        <f>VLOOKUP(E25,Troops!$A$3:$G$158,5,FALSE)*A25</f>
        <v>0</v>
      </c>
      <c r="N25" s="28"/>
      <c r="O25" s="14">
        <f>VLOOKUP(E25,Troops!$A$3:$F$158,6,FALSE)</f>
        <v>2</v>
      </c>
      <c r="P25" s="14">
        <f>O25*A25</f>
        <v>6</v>
      </c>
      <c r="R25" s="14" t="b" cm="1">
        <f t="array" ref="R25">IF(AND(H25="Elite",G25="Cmd Shot"),N/A)</f>
        <v>0</v>
      </c>
      <c r="T25" t="b" cm="1">
        <f t="array" ref="T25">IF(AND(H25="mediocre",G25="Regimental Artillery"),N/A)</f>
        <v>0</v>
      </c>
      <c r="V25">
        <f>IFERROR(IF(H25="Elite",VLOOKUP(E25,Troops!$A$3:$D$158,4,FALSE),IF(H25="Mediocre",VLOOKUP(E25,Troops!$A$3:$D$158,2,FALSE),VLOOKUP(E25,Troops!$A$3:$D$158,3,FALSE)))+R25+T25,"-")</f>
        <v>19</v>
      </c>
      <c r="X25" t="b">
        <f>IF(G25="Regimental Artillery",VLOOKUP(G25,Troops!$X$4:$Y$5,2,FALSE))</f>
        <v>0</v>
      </c>
      <c r="Z25" t="b">
        <f>IF(G25="Cmd Shot",VLOOKUP(G25,Troops!$X$4:$Y$5,2,FALSE))</f>
        <v>0</v>
      </c>
      <c r="AB25" t="b">
        <f>IF(G25="Stakes",VLOOKUP(G25,Troops!$X$4:$Y$6,2,FALSE))</f>
        <v>0</v>
      </c>
    </row>
    <row r="26" spans="1:28" x14ac:dyDescent="0.3">
      <c r="A26" s="70">
        <v>1</v>
      </c>
      <c r="B26" s="83" t="s">
        <v>338</v>
      </c>
      <c r="C26" s="84"/>
      <c r="D26" s="85"/>
      <c r="E26" s="126" t="s">
        <v>265</v>
      </c>
      <c r="F26" s="127"/>
      <c r="G26" s="63" t="s">
        <v>13</v>
      </c>
      <c r="H26" s="64" t="s">
        <v>13</v>
      </c>
      <c r="I26" s="128">
        <f t="shared" si="5"/>
        <v>9</v>
      </c>
      <c r="J26" s="129"/>
      <c r="K26" s="71">
        <f>IFERROR(SUM(A26*I26),"N/A")</f>
        <v>9</v>
      </c>
      <c r="M26" s="28">
        <f>VLOOKUP(E26,Troops!$A$3:$G$158,5,FALSE)*A26</f>
        <v>0</v>
      </c>
      <c r="N26" s="28"/>
      <c r="O26" s="14">
        <f>VLOOKUP(E26,Troops!$A$3:$F$158,6,FALSE)</f>
        <v>1</v>
      </c>
      <c r="P26" s="14">
        <f>O26*A26</f>
        <v>1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9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3"/>
      <c r="C27" s="84"/>
      <c r="D27" s="85"/>
      <c r="E27" s="83" t="s">
        <v>13</v>
      </c>
      <c r="F27" s="85"/>
      <c r="G27" s="32" t="s">
        <v>13</v>
      </c>
      <c r="H27" s="29" t="s">
        <v>13</v>
      </c>
      <c r="I27" s="86">
        <f t="shared" si="5"/>
        <v>0</v>
      </c>
      <c r="J27" s="87"/>
      <c r="K27" s="9">
        <f t="shared" ref="K27:K28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28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ht="15" thickBot="1" x14ac:dyDescent="0.35">
      <c r="A28" s="24"/>
      <c r="B28" s="139"/>
      <c r="C28" s="140"/>
      <c r="D28" s="141"/>
      <c r="E28" s="139" t="s">
        <v>13</v>
      </c>
      <c r="F28" s="141"/>
      <c r="G28" s="63" t="s">
        <v>13</v>
      </c>
      <c r="H28" s="64" t="s">
        <v>13</v>
      </c>
      <c r="I28" s="124">
        <f t="shared" si="5"/>
        <v>0</v>
      </c>
      <c r="J28" s="125"/>
      <c r="K28" s="10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si="7"/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ht="16.8" thickTop="1" thickBot="1" x14ac:dyDescent="0.35">
      <c r="A29" s="44">
        <f>SUM(P$25:P$28)</f>
        <v>7</v>
      </c>
      <c r="B29" s="111"/>
      <c r="C29" s="142"/>
      <c r="D29" s="142"/>
      <c r="E29" s="142"/>
      <c r="F29" s="142"/>
      <c r="G29" s="142"/>
      <c r="H29" s="142"/>
      <c r="I29" s="142"/>
      <c r="J29" s="142"/>
      <c r="K29" s="45">
        <f>SUM(K25:K28)+K23</f>
        <v>69</v>
      </c>
      <c r="M29" s="28"/>
      <c r="N29" s="28"/>
    </row>
    <row r="30" spans="1:28" ht="7.95" customHeight="1" thickTop="1" thickBot="1" x14ac:dyDescent="0.35">
      <c r="A30" s="2"/>
      <c r="B30" s="3"/>
      <c r="K30" s="2"/>
      <c r="M30" s="28"/>
      <c r="N30" s="28"/>
    </row>
    <row r="31" spans="1:28" ht="16.2" thickTop="1" x14ac:dyDescent="0.3">
      <c r="A31" s="106" t="s">
        <v>34</v>
      </c>
      <c r="B31" s="107"/>
      <c r="C31" s="107"/>
      <c r="D31" s="107"/>
      <c r="E31" s="107" t="s">
        <v>17</v>
      </c>
      <c r="F31" s="107"/>
      <c r="G31" s="39"/>
      <c r="H31" s="40" t="s">
        <v>18</v>
      </c>
      <c r="I31" s="88" t="s">
        <v>19</v>
      </c>
      <c r="J31" s="88"/>
      <c r="K31" s="36" t="s">
        <v>12</v>
      </c>
      <c r="M31" s="28"/>
      <c r="N31" s="28"/>
      <c r="O31" s="11" t="s">
        <v>5</v>
      </c>
      <c r="P31" s="11" t="s">
        <v>21</v>
      </c>
      <c r="R31" s="11" t="s">
        <v>22</v>
      </c>
      <c r="T31" s="11" t="s">
        <v>23</v>
      </c>
      <c r="V31" s="62" t="s">
        <v>12</v>
      </c>
      <c r="W31" s="62"/>
      <c r="X31" s="62" t="s">
        <v>24</v>
      </c>
      <c r="Y31" s="62"/>
      <c r="Z31" s="62" t="s">
        <v>25</v>
      </c>
      <c r="AB31" s="62" t="s">
        <v>26</v>
      </c>
    </row>
    <row r="32" spans="1:28" ht="15" thickBot="1" x14ac:dyDescent="0.35">
      <c r="A32" s="1"/>
      <c r="B32" s="108"/>
      <c r="C32" s="108"/>
      <c r="D32" s="108"/>
      <c r="E32" s="109"/>
      <c r="F32" s="109"/>
      <c r="G32" s="109"/>
      <c r="H32" s="55" t="s">
        <v>150</v>
      </c>
      <c r="I32" s="110" t="s">
        <v>13</v>
      </c>
      <c r="J32" s="110"/>
      <c r="K32" s="4">
        <f>VLOOKUP(H32,Troops!$H$3:$I$7,2,FALSE)+VLOOKUP(I32,Troops!$K$3:$L$8,2,FALSE)</f>
        <v>3</v>
      </c>
      <c r="M32" s="28"/>
      <c r="N32" s="28"/>
    </row>
    <row r="33" spans="1:28" ht="16.8" thickTop="1" thickBot="1" x14ac:dyDescent="0.35">
      <c r="A33" s="41" t="s">
        <v>27</v>
      </c>
      <c r="B33" s="111" t="s">
        <v>28</v>
      </c>
      <c r="C33" s="111"/>
      <c r="D33" s="111"/>
      <c r="E33" s="111" t="s">
        <v>29</v>
      </c>
      <c r="F33" s="111"/>
      <c r="G33" s="42" t="s">
        <v>30</v>
      </c>
      <c r="H33" s="43" t="s">
        <v>31</v>
      </c>
      <c r="I33" s="97" t="s">
        <v>12</v>
      </c>
      <c r="J33" s="97"/>
      <c r="K33" s="37" t="s">
        <v>32</v>
      </c>
      <c r="M33" s="28"/>
      <c r="N33" s="28"/>
    </row>
    <row r="34" spans="1:28" ht="15" thickTop="1" x14ac:dyDescent="0.3">
      <c r="A34" s="22">
        <v>3</v>
      </c>
      <c r="B34" s="83" t="s">
        <v>339</v>
      </c>
      <c r="C34" s="84"/>
      <c r="D34" s="85"/>
      <c r="E34" s="115" t="s">
        <v>282</v>
      </c>
      <c r="F34" s="116"/>
      <c r="G34" s="31" t="s">
        <v>13</v>
      </c>
      <c r="H34" s="25" t="s">
        <v>154</v>
      </c>
      <c r="I34" s="143">
        <f t="shared" ref="I34:I37" si="8">IFERROR(R34+T34+V34+X34+Z34+AB34,"-")</f>
        <v>13</v>
      </c>
      <c r="J34" s="144"/>
      <c r="K34" s="6">
        <f>IFERROR(SUM(A34*I34),"N/A")</f>
        <v>39</v>
      </c>
      <c r="M34" s="28">
        <f>VLOOKUP(E34,Troops!$A$3:$G$158,5,FALSE)*A34</f>
        <v>0</v>
      </c>
      <c r="N34" s="28"/>
      <c r="O34" s="14">
        <f>VLOOKUP(E34,Troops!$A$3:$F$158,6,FALSE)</f>
        <v>1</v>
      </c>
      <c r="P34" s="14">
        <f>O34*A34</f>
        <v>3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13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x14ac:dyDescent="0.3">
      <c r="A35" s="23">
        <v>1</v>
      </c>
      <c r="B35" s="83" t="s">
        <v>333</v>
      </c>
      <c r="C35" s="84"/>
      <c r="D35" s="85"/>
      <c r="E35" s="83" t="s">
        <v>230</v>
      </c>
      <c r="F35" s="85"/>
      <c r="G35" s="32" t="s">
        <v>13</v>
      </c>
      <c r="H35" s="29" t="s">
        <v>13</v>
      </c>
      <c r="I35" s="86">
        <f t="shared" si="8"/>
        <v>16</v>
      </c>
      <c r="J35" s="87"/>
      <c r="K35" s="9">
        <f>IFERROR(SUM(A35*I35),"N/A")</f>
        <v>16</v>
      </c>
      <c r="M35" s="28">
        <f>VLOOKUP(E35,Troops!$A$3:$G$158,5,FALSE)*A35</f>
        <v>0</v>
      </c>
      <c r="N35" s="28"/>
      <c r="O35" s="14">
        <f>VLOOKUP(E35,Troops!$A$3:$F$158,6,FALSE)</f>
        <v>2</v>
      </c>
      <c r="P35" s="14">
        <f t="shared" ref="P35" si="9">O35*A35</f>
        <v>2</v>
      </c>
      <c r="R35" s="14" t="b" cm="1">
        <f t="array" ref="R35">IF(AND(H35="Elite",G35="Cmd Shot"),N/A)</f>
        <v>0</v>
      </c>
      <c r="T35" t="b" cm="1">
        <f t="array" ref="T35">IF(AND(H35="mediocre",G35="Regimental Artillery"),N/A)</f>
        <v>0</v>
      </c>
      <c r="V35">
        <f>IFERROR(IF(H35="Elite",VLOOKUP(E35,Troops!$A$3:$D$158,4,FALSE),IF(H35="Mediocre",VLOOKUP(E35,Troops!$A$3:$D$158,2,FALSE),VLOOKUP(E35,Troops!$A$3:$D$158,3,FALSE)))+R35+T35,"-")</f>
        <v>16</v>
      </c>
      <c r="X35" t="b">
        <f>IF(G35="Regimental Artillery",VLOOKUP(G35,Troops!$X$4:$Y$5,2,FALSE))</f>
        <v>0</v>
      </c>
      <c r="Z35" t="b">
        <f>IF(G35="Cmd Shot",VLOOKUP(G35,Troops!$X$4:$Y$5,2,FALSE))</f>
        <v>0</v>
      </c>
      <c r="AB35" t="b">
        <f>IF(G35="Stakes",VLOOKUP(G35,Troops!$X$4:$Y$6,2,FALSE))</f>
        <v>0</v>
      </c>
    </row>
    <row r="36" spans="1:28" x14ac:dyDescent="0.3">
      <c r="A36" s="23">
        <v>1</v>
      </c>
      <c r="B36" s="83" t="s">
        <v>340</v>
      </c>
      <c r="C36" s="84"/>
      <c r="D36" s="85"/>
      <c r="E36" s="130" t="s">
        <v>168</v>
      </c>
      <c r="F36" s="131"/>
      <c r="G36" s="32" t="s">
        <v>13</v>
      </c>
      <c r="H36" s="29" t="s">
        <v>13</v>
      </c>
      <c r="I36" s="86">
        <f t="shared" si="8"/>
        <v>11</v>
      </c>
      <c r="J36" s="87"/>
      <c r="K36" s="9">
        <f t="shared" ref="K36:K37" si="10">IFERROR(SUM(A36*I36),"N/A")</f>
        <v>11</v>
      </c>
      <c r="M36" s="28">
        <f>VLOOKUP(E36,Troops!$A$3:$G$158,5,FALSE)*A36</f>
        <v>0</v>
      </c>
      <c r="N36" s="28"/>
      <c r="O36" s="14">
        <f>VLOOKUP(E36,Troops!$A$3:$F$158,6,FALSE)</f>
        <v>2</v>
      </c>
      <c r="P36" s="14">
        <f t="shared" ref="P36:P37" si="11">O36*A36</f>
        <v>2</v>
      </c>
      <c r="R36" s="14" t="b" cm="1">
        <f t="array" ref="R36">IF(AND(H36="Elite",G36="Cmd Shot"),N/A)</f>
        <v>0</v>
      </c>
      <c r="T36" t="b" cm="1">
        <f t="array" ref="T36">IF(AND(H36="mediocre",G36="Regimental Artillery"),N/A)</f>
        <v>0</v>
      </c>
      <c r="V36">
        <f>IFERROR(IF(H36="Elite",VLOOKUP(E36,Troops!$A$3:$D$158,4,FALSE),IF(H36="Mediocre",VLOOKUP(E36,Troops!$A$3:$D$158,2,FALSE),VLOOKUP(E36,Troops!$A$3:$D$158,3,FALSE)))+R36+T36,"-")</f>
        <v>11</v>
      </c>
      <c r="X36" t="b">
        <f>IF(G36="Regimental Artillery",VLOOKUP(G36,Troops!$X$4:$Y$5,2,FALSE))</f>
        <v>0</v>
      </c>
      <c r="Z36" t="b">
        <f>IF(G36="Cmd Shot",VLOOKUP(G36,Troops!$X$4:$Y$5,2,FALSE))</f>
        <v>0</v>
      </c>
      <c r="AB36" t="b">
        <f>IF(G36="Stakes",VLOOKUP(G36,Troops!$X$4:$Y$6,2,FALSE))</f>
        <v>0</v>
      </c>
    </row>
    <row r="37" spans="1:28" ht="15" thickBot="1" x14ac:dyDescent="0.35">
      <c r="A37" s="24"/>
      <c r="B37" s="132"/>
      <c r="C37" s="133"/>
      <c r="D37" s="134"/>
      <c r="E37" s="135" t="s">
        <v>13</v>
      </c>
      <c r="F37" s="136"/>
      <c r="G37" s="33" t="s">
        <v>13</v>
      </c>
      <c r="H37" s="30" t="s">
        <v>13</v>
      </c>
      <c r="I37" s="124">
        <f t="shared" si="8"/>
        <v>0</v>
      </c>
      <c r="J37" s="125"/>
      <c r="K37" s="10">
        <f t="shared" si="10"/>
        <v>0</v>
      </c>
      <c r="M37" s="28">
        <f>VLOOKUP(E37,Troops!$A$3:$G$158,5,FALSE)*A37</f>
        <v>0</v>
      </c>
      <c r="N37" s="28"/>
      <c r="O37" s="14">
        <f>VLOOKUP(E37,Troops!$A$3:$F$158,6,FALSE)</f>
        <v>0</v>
      </c>
      <c r="P37" s="14">
        <f t="shared" si="11"/>
        <v>0</v>
      </c>
      <c r="R37" s="14" t="b" cm="1">
        <f t="array" ref="R37">IF(AND(H37="Elite",G37="Cmd Shot"),N/A)</f>
        <v>0</v>
      </c>
      <c r="T37" t="b" cm="1">
        <f t="array" ref="T37">IF(AND(H37="mediocre",G37="Regimental Artillery"),N/A)</f>
        <v>0</v>
      </c>
      <c r="V37">
        <f>IFERROR(IF(H37="Elite",VLOOKUP(E37,Troops!$A$3:$D$158,4,FALSE),IF(H37="Mediocre",VLOOKUP(E37,Troops!$A$3:$D$158,2,FALSE),VLOOKUP(E37,Troops!$A$3:$D$158,3,FALSE)))+R37+T37,"-")</f>
        <v>0</v>
      </c>
      <c r="X37" t="b">
        <f>IF(G37="Regimental Artillery",VLOOKUP(G37,Troops!$X$4:$Y$5,2,FALSE))</f>
        <v>0</v>
      </c>
      <c r="Z37" t="b">
        <f>IF(G37="Cmd Shot",VLOOKUP(G37,Troops!$X$4:$Y$5,2,FALSE))</f>
        <v>0</v>
      </c>
      <c r="AB37" t="b">
        <f>IF(G37="Stakes",VLOOKUP(G37,Troops!$X$4:$Y$6,2,FALSE))</f>
        <v>0</v>
      </c>
    </row>
    <row r="38" spans="1:28" ht="16.8" thickTop="1" thickBot="1" x14ac:dyDescent="0.35">
      <c r="A38" s="44">
        <f>SUM(P$34:P$37)</f>
        <v>7</v>
      </c>
      <c r="B38" s="111"/>
      <c r="C38" s="145"/>
      <c r="D38" s="145"/>
      <c r="E38" s="145"/>
      <c r="F38" s="145"/>
      <c r="G38" s="145"/>
      <c r="H38" s="145"/>
      <c r="I38" s="145"/>
      <c r="J38" s="145"/>
      <c r="K38" s="45">
        <f>SUM(K34:K37)+K32</f>
        <v>69</v>
      </c>
      <c r="M38" s="28"/>
      <c r="N38" s="28"/>
    </row>
    <row r="39" spans="1:28" ht="7.95" customHeight="1" thickTop="1" thickBot="1" x14ac:dyDescent="0.35">
      <c r="M39" s="28">
        <f>SUM(M12:M37)</f>
        <v>1</v>
      </c>
      <c r="N39" s="28"/>
    </row>
    <row r="40" spans="1:28" ht="16.8" thickTop="1" thickBot="1" x14ac:dyDescent="0.35">
      <c r="A40" s="46">
        <f>SUM(A20+A29+A38+M5)</f>
        <v>23</v>
      </c>
      <c r="B40" s="146" t="s">
        <v>35</v>
      </c>
      <c r="C40" s="146"/>
      <c r="D40" s="146"/>
      <c r="E40" s="146"/>
      <c r="F40" s="146"/>
      <c r="G40" s="47"/>
      <c r="H40" s="146" t="s">
        <v>36</v>
      </c>
      <c r="I40" s="146"/>
      <c r="J40" s="146"/>
      <c r="K40" s="48">
        <f>SUM(F7+K6+K7+K20+K29+K38)</f>
        <v>220</v>
      </c>
    </row>
    <row r="41" spans="1:28" ht="15" thickTop="1" x14ac:dyDescent="0.3"/>
  </sheetData>
  <mergeCells count="91">
    <mergeCell ref="B34:D34"/>
    <mergeCell ref="E34:F34"/>
    <mergeCell ref="I34:J34"/>
    <mergeCell ref="B38:J38"/>
    <mergeCell ref="B40:C40"/>
    <mergeCell ref="D40:F40"/>
    <mergeCell ref="H40:J40"/>
    <mergeCell ref="B36:D36"/>
    <mergeCell ref="E36:F36"/>
    <mergeCell ref="I36:J36"/>
    <mergeCell ref="B37:D37"/>
    <mergeCell ref="E37:F37"/>
    <mergeCell ref="I37:J37"/>
    <mergeCell ref="B32:D32"/>
    <mergeCell ref="E32:G32"/>
    <mergeCell ref="I32:J32"/>
    <mergeCell ref="B33:D33"/>
    <mergeCell ref="E33:F33"/>
    <mergeCell ref="I33:J33"/>
    <mergeCell ref="B28:D28"/>
    <mergeCell ref="E28:F28"/>
    <mergeCell ref="I28:J28"/>
    <mergeCell ref="B29:J29"/>
    <mergeCell ref="A31:D31"/>
    <mergeCell ref="E31:F31"/>
    <mergeCell ref="I31:J31"/>
    <mergeCell ref="B27:D27"/>
    <mergeCell ref="E27:F27"/>
    <mergeCell ref="I27:J27"/>
    <mergeCell ref="B26:D26"/>
    <mergeCell ref="E26:F26"/>
    <mergeCell ref="I26:J26"/>
    <mergeCell ref="B24:D24"/>
    <mergeCell ref="E24:F24"/>
    <mergeCell ref="I24:J24"/>
    <mergeCell ref="B25:D25"/>
    <mergeCell ref="E25:F25"/>
    <mergeCell ref="I25:J25"/>
    <mergeCell ref="B20:J20"/>
    <mergeCell ref="A22:D22"/>
    <mergeCell ref="E22:F22"/>
    <mergeCell ref="I22:J22"/>
    <mergeCell ref="B23:D23"/>
    <mergeCell ref="E23:G23"/>
    <mergeCell ref="I23:J23"/>
    <mergeCell ref="B18:D18"/>
    <mergeCell ref="E18:F18"/>
    <mergeCell ref="I18:J18"/>
    <mergeCell ref="B19:D19"/>
    <mergeCell ref="E19:F19"/>
    <mergeCell ref="I19:J19"/>
    <mergeCell ref="B16:D16"/>
    <mergeCell ref="E16:F16"/>
    <mergeCell ref="I16:J16"/>
    <mergeCell ref="B17:D17"/>
    <mergeCell ref="E17:F17"/>
    <mergeCell ref="I17:J17"/>
    <mergeCell ref="B14:D14"/>
    <mergeCell ref="E14:F14"/>
    <mergeCell ref="I14:J14"/>
    <mergeCell ref="B15:D15"/>
    <mergeCell ref="E15:F15"/>
    <mergeCell ref="I15:J15"/>
    <mergeCell ref="B12:D12"/>
    <mergeCell ref="E12:F12"/>
    <mergeCell ref="I12:J12"/>
    <mergeCell ref="B13:D13"/>
    <mergeCell ref="E13:F13"/>
    <mergeCell ref="I13:J13"/>
    <mergeCell ref="B10:D10"/>
    <mergeCell ref="E10:G10"/>
    <mergeCell ref="I10:J10"/>
    <mergeCell ref="B11:D11"/>
    <mergeCell ref="E11:F11"/>
    <mergeCell ref="I11:J11"/>
    <mergeCell ref="B35:D35"/>
    <mergeCell ref="E35:F35"/>
    <mergeCell ref="I35:J35"/>
    <mergeCell ref="D2:F2"/>
    <mergeCell ref="G2:J2"/>
    <mergeCell ref="D3:F3"/>
    <mergeCell ref="G3:J3"/>
    <mergeCell ref="C5:E5"/>
    <mergeCell ref="H5:I5"/>
    <mergeCell ref="C6:D6"/>
    <mergeCell ref="H6:I6"/>
    <mergeCell ref="C7:D7"/>
    <mergeCell ref="H7:I7"/>
    <mergeCell ref="A9:D9"/>
    <mergeCell ref="E9:F9"/>
    <mergeCell ref="I9:J9"/>
  </mergeCells>
  <dataValidations count="7">
    <dataValidation type="list" allowBlank="1" showInputMessage="1" showErrorMessage="1" sqref="G12:G19 G34:G37 G25:G28" xr:uid="{83E9E7E4-2BC5-5A40-9413-4FF1AC178B7F}">
      <formula1>Options</formula1>
    </dataValidation>
    <dataValidation type="list" allowBlank="1" showInputMessage="1" showErrorMessage="1" sqref="F6" xr:uid="{8098A0EE-0FAA-5C4E-B98C-5E6F7E7FCD59}">
      <formula1>Camp</formula1>
    </dataValidation>
    <dataValidation type="list" allowBlank="1" showInputMessage="1" showErrorMessage="1" sqref="I10:J10 I23:J23 I32:J32" xr:uid="{E572F85F-300B-C145-A18A-39D999CBF69E}">
      <formula1>GeneralType</formula1>
    </dataValidation>
    <dataValidation type="list" allowBlank="1" showInputMessage="1" showErrorMessage="1" sqref="H10 H23 H32" xr:uid="{EB17B5A5-A176-A543-925B-B894C8E24E32}">
      <formula1>Generals</formula1>
    </dataValidation>
    <dataValidation type="list" allowBlank="1" showInputMessage="1" showErrorMessage="1" sqref="C6:E7" xr:uid="{607F4623-3078-6149-B79B-8E2E499D9A24}">
      <formula1>Terrain</formula1>
    </dataValidation>
    <dataValidation type="list" allowBlank="1" showInputMessage="1" showErrorMessage="1" sqref="H12:H19 H34:H37 H25:H28" xr:uid="{24DA1688-1E10-7E4F-A86A-C8CD20865C43}">
      <formula1>Quality</formula1>
    </dataValidation>
    <dataValidation type="list" allowBlank="1" showInputMessage="1" showErrorMessage="1" sqref="E12:F19 E34:F37 E25:F28" xr:uid="{070A7D7D-D2F1-6143-8327-D952E1B1439F}">
      <formula1>Troops</formula1>
    </dataValidation>
  </dataValidations>
  <pageMargins left="0.25" right="0.25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41"/>
  <sheetViews>
    <sheetView zoomScaleNormal="100" workbookViewId="0">
      <selection activeCell="H36" sqref="H36"/>
    </sheetView>
  </sheetViews>
  <sheetFormatPr defaultColWidth="8.77734375" defaultRowHeight="14.4" x14ac:dyDescent="0.3"/>
  <cols>
    <col min="1" max="1" width="12.33203125" customWidth="1"/>
    <col min="2" max="2" width="25.77734375" customWidth="1"/>
    <col min="3" max="3" width="7" customWidth="1"/>
    <col min="4" max="4" width="17.10937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18" customWidth="1"/>
    <col min="13" max="13" width="20.3320312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109375" hidden="1" customWidth="1"/>
    <col min="21" max="28" width="8.77734375" hidden="1" customWidth="1"/>
    <col min="29" max="30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8" t="s">
        <v>1</v>
      </c>
      <c r="E2" s="88"/>
      <c r="F2" s="88"/>
      <c r="G2" s="89" t="s">
        <v>2</v>
      </c>
      <c r="H2" s="89"/>
      <c r="I2" s="89"/>
      <c r="J2" s="89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72">
        <v>34</v>
      </c>
      <c r="D3" s="90" t="str">
        <f>VLOOKUP(C3,'Armies v4'!A1:B92,2,FALSE)</f>
        <v>Later English Civil War Royalist</v>
      </c>
      <c r="E3" s="91"/>
      <c r="F3" s="92"/>
      <c r="G3" s="93" t="s">
        <v>335</v>
      </c>
      <c r="H3" s="94"/>
      <c r="I3" s="94"/>
      <c r="J3" s="95"/>
      <c r="K3" s="73">
        <f>ROUNDDOWN(SUM(IF(H10="Competent",1,IF(H10="Brilliant",2,IF(H10="Strategist",2,0))),IF(H23="Competent",1,IF(H23="Brilliant",2,IF(H23="Strategist",2,0))),IF(H32="Competent",1,IF(H32="Brilliant",2,IF(H32="Strategist",2,0))))/2+IF(H10="Strategist",1,IF(H23="Strategist",1,IF(H32="Strategist",1,0))),0)+M3</f>
        <v>1</v>
      </c>
      <c r="M3" s="14">
        <f>IF(M39&gt;=6,2,IF(M39&gt;=2,1,0))</f>
        <v>0</v>
      </c>
    </row>
    <row r="4" spans="1:28" ht="10.199999999999999" customHeight="1" thickTop="1" thickBot="1" x14ac:dyDescent="0.4">
      <c r="A4" s="57"/>
      <c r="B4" s="57"/>
      <c r="C4" s="74"/>
      <c r="D4" s="74"/>
      <c r="E4" s="74"/>
      <c r="F4" s="74"/>
      <c r="G4" s="74"/>
      <c r="H4" s="74"/>
      <c r="I4" s="74"/>
      <c r="J4" s="74"/>
      <c r="K4" s="74"/>
    </row>
    <row r="5" spans="1:28" ht="19.2" thickTop="1" thickBot="1" x14ac:dyDescent="0.4">
      <c r="A5" s="50"/>
      <c r="B5" s="58" t="s">
        <v>7</v>
      </c>
      <c r="C5" s="96" t="s">
        <v>8</v>
      </c>
      <c r="D5" s="97"/>
      <c r="E5" s="97"/>
      <c r="F5" s="38" t="s">
        <v>9</v>
      </c>
      <c r="G5" s="75"/>
      <c r="H5" s="98" t="s">
        <v>10</v>
      </c>
      <c r="I5" s="99"/>
      <c r="J5" s="38" t="s">
        <v>11</v>
      </c>
      <c r="K5" s="37" t="s">
        <v>12</v>
      </c>
      <c r="M5" s="14" t="b">
        <f>IF(F6="fortified",1)</f>
        <v>0</v>
      </c>
    </row>
    <row r="6" spans="1:28" ht="16.2" thickTop="1" x14ac:dyDescent="0.3">
      <c r="C6" s="100" t="s">
        <v>142</v>
      </c>
      <c r="D6" s="101"/>
      <c r="E6" s="76" t="s">
        <v>13</v>
      </c>
      <c r="F6" s="76" t="s">
        <v>146</v>
      </c>
      <c r="G6" s="77"/>
      <c r="H6" s="102" t="s">
        <v>14</v>
      </c>
      <c r="I6" s="102"/>
      <c r="J6" s="76">
        <v>0</v>
      </c>
      <c r="K6" s="78">
        <f>J6*1</f>
        <v>0</v>
      </c>
      <c r="N6" s="26"/>
    </row>
    <row r="7" spans="1:28" ht="16.2" thickBot="1" x14ac:dyDescent="0.35">
      <c r="C7" s="103" t="s">
        <v>153</v>
      </c>
      <c r="D7" s="104"/>
      <c r="E7" s="79" t="s">
        <v>13</v>
      </c>
      <c r="F7" s="49">
        <f>IFERROR(VLOOKUP(F6,Troops!N4:O5,2,FALSE),"0")</f>
        <v>0</v>
      </c>
      <c r="G7" s="80"/>
      <c r="H7" s="105" t="s">
        <v>15</v>
      </c>
      <c r="I7" s="105"/>
      <c r="J7" s="79">
        <v>0</v>
      </c>
      <c r="K7" s="81">
        <f>J7*0.5</f>
        <v>0</v>
      </c>
    </row>
    <row r="8" spans="1:28" ht="7.95" customHeight="1" thickTop="1" thickBot="1" x14ac:dyDescent="0.35">
      <c r="C8" s="74"/>
      <c r="D8" s="74"/>
      <c r="E8" s="74"/>
      <c r="F8" s="74"/>
      <c r="G8" s="74"/>
      <c r="H8" s="74"/>
      <c r="I8" s="74"/>
      <c r="J8" s="74"/>
      <c r="K8" s="74"/>
    </row>
    <row r="9" spans="1:28" ht="16.2" thickTop="1" x14ac:dyDescent="0.3">
      <c r="A9" s="106" t="s">
        <v>16</v>
      </c>
      <c r="B9" s="107"/>
      <c r="C9" s="107"/>
      <c r="D9" s="107"/>
      <c r="E9" s="107" t="s">
        <v>17</v>
      </c>
      <c r="F9" s="107"/>
      <c r="G9" s="39"/>
      <c r="H9" s="40" t="s">
        <v>18</v>
      </c>
      <c r="I9" s="88" t="s">
        <v>19</v>
      </c>
      <c r="J9" s="8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08" t="s">
        <v>336</v>
      </c>
      <c r="C10" s="108"/>
      <c r="D10" s="108"/>
      <c r="E10" s="109"/>
      <c r="F10" s="109"/>
      <c r="G10" s="109"/>
      <c r="H10" s="55" t="s">
        <v>150</v>
      </c>
      <c r="I10" s="110" t="s">
        <v>13</v>
      </c>
      <c r="J10" s="110"/>
      <c r="K10" s="8">
        <f>VLOOKUP(H10,Troops!$H$3:$I$7,2,FALSE)+VLOOKUP(I10,Troops!$K$3:$L$8,2,FALSE)</f>
        <v>3</v>
      </c>
      <c r="M10" s="28"/>
      <c r="N10" s="28"/>
    </row>
    <row r="11" spans="1:28" ht="16.8" thickTop="1" thickBot="1" x14ac:dyDescent="0.35">
      <c r="A11" s="41" t="s">
        <v>27</v>
      </c>
      <c r="B11" s="111" t="s">
        <v>28</v>
      </c>
      <c r="C11" s="111"/>
      <c r="D11" s="111"/>
      <c r="E11" s="111" t="s">
        <v>29</v>
      </c>
      <c r="F11" s="111"/>
      <c r="G11" s="42" t="s">
        <v>30</v>
      </c>
      <c r="H11" s="43" t="s">
        <v>31</v>
      </c>
      <c r="I11" s="97" t="s">
        <v>12</v>
      </c>
      <c r="J11" s="97"/>
      <c r="K11" s="37" t="s">
        <v>32</v>
      </c>
      <c r="M11" s="28"/>
      <c r="N11" s="28"/>
    </row>
    <row r="12" spans="1:28" ht="15" hidden="1" thickTop="1" x14ac:dyDescent="0.3">
      <c r="A12" s="22">
        <v>0</v>
      </c>
      <c r="B12" s="112" t="s">
        <v>338</v>
      </c>
      <c r="C12" s="113"/>
      <c r="D12" s="114"/>
      <c r="E12" s="115" t="s">
        <v>282</v>
      </c>
      <c r="F12" s="116"/>
      <c r="G12" s="31" t="s">
        <v>13</v>
      </c>
      <c r="H12" s="25" t="s">
        <v>154</v>
      </c>
      <c r="I12" s="117">
        <f t="shared" ref="I12:I19" si="0">IFERROR(R12+T12+V12+X12+Z12+AB12,"-")</f>
        <v>13</v>
      </c>
      <c r="J12" s="118"/>
      <c r="K12" s="82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1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13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ht="15" thickTop="1" x14ac:dyDescent="0.3">
      <c r="A13" s="65">
        <v>3</v>
      </c>
      <c r="B13" s="119" t="s">
        <v>338</v>
      </c>
      <c r="C13" s="120"/>
      <c r="D13" s="121"/>
      <c r="E13" s="122" t="s">
        <v>282</v>
      </c>
      <c r="F13" s="123"/>
      <c r="G13" s="66" t="s">
        <v>13</v>
      </c>
      <c r="H13" s="67" t="s">
        <v>13</v>
      </c>
      <c r="I13" s="124">
        <f t="shared" ref="I13:I14" si="1">IFERROR(R13+T13+V13+X13+Z13+AB13,"-")</f>
        <v>11</v>
      </c>
      <c r="J13" s="125"/>
      <c r="K13" s="10">
        <f>IFERROR(SUM(A13*I13),"N/A")</f>
        <v>33</v>
      </c>
      <c r="M13" s="28">
        <f>VLOOKUP(E13,Troops!$A$3:$G$158,5,FALSE)*A13</f>
        <v>0</v>
      </c>
      <c r="N13" s="28"/>
      <c r="O13" s="14">
        <f>VLOOKUP(E13,Troops!$A$3:$F$158,6,FALSE)</f>
        <v>1</v>
      </c>
      <c r="P13" s="14">
        <f>O13*A13</f>
        <v>3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11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hidden="1" x14ac:dyDescent="0.3">
      <c r="A14" s="70">
        <v>0</v>
      </c>
      <c r="B14" s="83" t="s">
        <v>338</v>
      </c>
      <c r="C14" s="84"/>
      <c r="D14" s="85"/>
      <c r="E14" s="126" t="s">
        <v>265</v>
      </c>
      <c r="F14" s="127"/>
      <c r="G14" s="63" t="s">
        <v>13</v>
      </c>
      <c r="H14" s="64" t="s">
        <v>13</v>
      </c>
      <c r="I14" s="128">
        <f t="shared" si="1"/>
        <v>9</v>
      </c>
      <c r="J14" s="129"/>
      <c r="K14" s="71">
        <f>IFERROR(SUM(A14*I14),"N/A")</f>
        <v>0</v>
      </c>
      <c r="M14" s="28">
        <f>VLOOKUP(E14,Troops!$A$3:$G$158,5,FALSE)*A14</f>
        <v>0</v>
      </c>
      <c r="N14" s="28"/>
      <c r="O14" s="14">
        <f>VLOOKUP(E14,Troops!$A$3:$F$158,6,FALSE)</f>
        <v>1</v>
      </c>
      <c r="P14" s="14">
        <f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9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83" t="s">
        <v>332</v>
      </c>
      <c r="C15" s="84"/>
      <c r="D15" s="85"/>
      <c r="E15" s="126" t="s">
        <v>252</v>
      </c>
      <c r="F15" s="127"/>
      <c r="G15" s="32" t="s">
        <v>13</v>
      </c>
      <c r="H15" s="29" t="s">
        <v>13</v>
      </c>
      <c r="I15" s="86">
        <f>IFERROR(R15+T15+V15+X15+Z15+AB15,"-")</f>
        <v>6</v>
      </c>
      <c r="J15" s="87"/>
      <c r="K15" s="9">
        <f>IFERROR(SUM(A15*I15),"N/A")</f>
        <v>6</v>
      </c>
      <c r="M15" s="28">
        <f>VLOOKUP(E15,Troops!$A$3:$G$158,5,FALSE)*A15</f>
        <v>1</v>
      </c>
      <c r="N15" s="28"/>
      <c r="O15" s="14">
        <f>VLOOKUP(E15,Troops!$A$3:$F$158,6,FALSE)</f>
        <v>1</v>
      </c>
      <c r="P15" s="14">
        <f>O15*A15</f>
        <v>1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6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>
        <v>2</v>
      </c>
      <c r="B16" s="83" t="s">
        <v>333</v>
      </c>
      <c r="C16" s="84"/>
      <c r="D16" s="85"/>
      <c r="E16" s="83" t="s">
        <v>230</v>
      </c>
      <c r="F16" s="85"/>
      <c r="G16" s="32" t="s">
        <v>13</v>
      </c>
      <c r="H16" s="29" t="s">
        <v>13</v>
      </c>
      <c r="I16" s="86">
        <f t="shared" ref="I16" si="2">IFERROR(R16+T16+V16+X16+Z16+AB16,"-")</f>
        <v>16</v>
      </c>
      <c r="J16" s="87"/>
      <c r="K16" s="9">
        <f>IFERROR(SUM(A16*I16),"N/A")</f>
        <v>32</v>
      </c>
      <c r="M16" s="28">
        <f>VLOOKUP(E16,Troops!$A$3:$G$158,5,FALSE)*A16</f>
        <v>0</v>
      </c>
      <c r="N16" s="28"/>
      <c r="O16" s="14">
        <f>VLOOKUP(E16,Troops!$A$3:$F$158,6,FALSE)</f>
        <v>2</v>
      </c>
      <c r="P16" s="14">
        <f t="shared" ref="P16" si="3">O16*A16</f>
        <v>4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16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83" t="s">
        <v>334</v>
      </c>
      <c r="C17" s="84"/>
      <c r="D17" s="85"/>
      <c r="E17" s="130" t="s">
        <v>243</v>
      </c>
      <c r="F17" s="131"/>
      <c r="G17" s="32" t="s">
        <v>13</v>
      </c>
      <c r="H17" s="29" t="s">
        <v>13</v>
      </c>
      <c r="I17" s="86">
        <f>IFERROR(R17+T17+V17+X17+Z17+AB17,"-")</f>
        <v>6</v>
      </c>
      <c r="J17" s="87"/>
      <c r="K17" s="9">
        <f t="shared" ref="K17" si="4">IFERROR(SUM(A17*I17),"N/A")</f>
        <v>6</v>
      </c>
      <c r="M17" s="28">
        <f>VLOOKUP(E17,Troops!$A$3:$G$158,5,FALSE)*A17</f>
        <v>0</v>
      </c>
      <c r="N17" s="28"/>
      <c r="O17" s="14">
        <f>VLOOKUP(E17,Troops!$A$3:$F$158,6,FALSE)</f>
        <v>1</v>
      </c>
      <c r="P17" s="14">
        <f t="shared" ref="P17" si="5">O17*A17</f>
        <v>1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6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3"/>
      <c r="C18" s="84"/>
      <c r="D18" s="85"/>
      <c r="E18" s="130" t="s">
        <v>13</v>
      </c>
      <c r="F18" s="131"/>
      <c r="G18" s="32" t="s">
        <v>13</v>
      </c>
      <c r="H18" s="29" t="s">
        <v>13</v>
      </c>
      <c r="I18" s="86">
        <f t="shared" si="0"/>
        <v>0</v>
      </c>
      <c r="J18" s="87"/>
      <c r="K18" s="9">
        <f t="shared" ref="K18:K19" si="6">IFERROR(SUM(A18*I18),"N/A")</f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ref="P18:P19" si="7">O18*A18</f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ht="15" thickBot="1" x14ac:dyDescent="0.35">
      <c r="A19" s="24"/>
      <c r="B19" s="132"/>
      <c r="C19" s="133"/>
      <c r="D19" s="134"/>
      <c r="E19" s="135" t="s">
        <v>13</v>
      </c>
      <c r="F19" s="136"/>
      <c r="G19" s="33" t="s">
        <v>13</v>
      </c>
      <c r="H19" s="30" t="s">
        <v>13</v>
      </c>
      <c r="I19" s="124">
        <f t="shared" si="0"/>
        <v>0</v>
      </c>
      <c r="J19" s="125"/>
      <c r="K19" s="10">
        <f t="shared" si="6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7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6.8" thickTop="1" thickBot="1" x14ac:dyDescent="0.35">
      <c r="A20" s="44">
        <f>SUM(P$12:P$19)</f>
        <v>9</v>
      </c>
      <c r="B20" s="137"/>
      <c r="C20" s="138"/>
      <c r="D20" s="138"/>
      <c r="E20" s="138"/>
      <c r="F20" s="138"/>
      <c r="G20" s="138"/>
      <c r="H20" s="138"/>
      <c r="I20" s="138"/>
      <c r="J20" s="138"/>
      <c r="K20" s="45">
        <f>SUM(K12:K19)+K10</f>
        <v>80</v>
      </c>
      <c r="M20" s="28"/>
      <c r="N20" s="28"/>
    </row>
    <row r="21" spans="1:28" ht="7.95" customHeight="1" thickTop="1" thickBot="1" x14ac:dyDescent="0.35">
      <c r="A21" s="2"/>
      <c r="B21" s="3"/>
      <c r="K21" s="2"/>
      <c r="M21" s="28"/>
      <c r="N21" s="28"/>
    </row>
    <row r="22" spans="1:28" ht="16.2" thickTop="1" x14ac:dyDescent="0.3">
      <c r="A22" s="106" t="s">
        <v>33</v>
      </c>
      <c r="B22" s="107"/>
      <c r="C22" s="107"/>
      <c r="D22" s="107"/>
      <c r="E22" s="107" t="s">
        <v>17</v>
      </c>
      <c r="F22" s="107"/>
      <c r="G22" s="39"/>
      <c r="H22" s="40" t="s">
        <v>18</v>
      </c>
      <c r="I22" s="88" t="s">
        <v>19</v>
      </c>
      <c r="J22" s="88"/>
      <c r="K22" s="36" t="s">
        <v>12</v>
      </c>
      <c r="M22" s="28"/>
      <c r="N22" s="28"/>
      <c r="O22" s="11" t="s">
        <v>5</v>
      </c>
      <c r="P22" s="11" t="s">
        <v>21</v>
      </c>
      <c r="R22" s="11" t="s">
        <v>22</v>
      </c>
      <c r="T22" s="11" t="s">
        <v>23</v>
      </c>
      <c r="V22" s="62" t="s">
        <v>12</v>
      </c>
      <c r="W22" s="62"/>
      <c r="X22" s="62" t="s">
        <v>24</v>
      </c>
      <c r="Y22" s="62"/>
      <c r="Z22" s="62" t="s">
        <v>25</v>
      </c>
      <c r="AB22" s="62" t="s">
        <v>26</v>
      </c>
    </row>
    <row r="23" spans="1:28" ht="15" thickBot="1" x14ac:dyDescent="0.35">
      <c r="A23" s="1"/>
      <c r="B23" s="108"/>
      <c r="C23" s="108"/>
      <c r="D23" s="108"/>
      <c r="E23" s="109"/>
      <c r="F23" s="109"/>
      <c r="G23" s="109"/>
      <c r="H23" s="55" t="s">
        <v>150</v>
      </c>
      <c r="I23" s="110" t="s">
        <v>13</v>
      </c>
      <c r="J23" s="110"/>
      <c r="K23" s="8">
        <f>VLOOKUP(H23,Troops!$H$3:$I$7,2,FALSE)+VLOOKUP(I23,Troops!$K$3:$L$8,2,FALSE)</f>
        <v>3</v>
      </c>
      <c r="M23" s="28"/>
      <c r="N23" s="28"/>
    </row>
    <row r="24" spans="1:28" ht="16.8" thickTop="1" thickBot="1" x14ac:dyDescent="0.35">
      <c r="A24" s="41" t="s">
        <v>27</v>
      </c>
      <c r="B24" s="111" t="s">
        <v>28</v>
      </c>
      <c r="C24" s="111"/>
      <c r="D24" s="111"/>
      <c r="E24" s="111" t="s">
        <v>29</v>
      </c>
      <c r="F24" s="111"/>
      <c r="G24" s="42" t="s">
        <v>30</v>
      </c>
      <c r="H24" s="43" t="s">
        <v>31</v>
      </c>
      <c r="I24" s="97" t="s">
        <v>12</v>
      </c>
      <c r="J24" s="97"/>
      <c r="K24" s="37" t="s">
        <v>32</v>
      </c>
      <c r="M24" s="28"/>
      <c r="N24" s="28"/>
    </row>
    <row r="25" spans="1:28" ht="15" thickTop="1" x14ac:dyDescent="0.3">
      <c r="A25" s="23">
        <v>3</v>
      </c>
      <c r="B25" s="83" t="s">
        <v>337</v>
      </c>
      <c r="C25" s="84"/>
      <c r="D25" s="85"/>
      <c r="E25" s="83" t="s">
        <v>230</v>
      </c>
      <c r="F25" s="85"/>
      <c r="G25" s="32" t="s">
        <v>13</v>
      </c>
      <c r="H25" s="29" t="s">
        <v>154</v>
      </c>
      <c r="I25" s="86">
        <f t="shared" ref="I25:I26" si="8">IFERROR(R25+T25+V25+X25+Z25+AB25,"-")</f>
        <v>19</v>
      </c>
      <c r="J25" s="87"/>
      <c r="K25" s="9">
        <f>IFERROR(SUM(A25*I25),"N/A")</f>
        <v>57</v>
      </c>
      <c r="M25" s="28">
        <f>VLOOKUP(E25,Troops!$A$3:$G$158,5,FALSE)*A25</f>
        <v>0</v>
      </c>
      <c r="N25" s="28"/>
      <c r="O25" s="14">
        <f>VLOOKUP(E25,Troops!$A$3:$F$158,6,FALSE)</f>
        <v>2</v>
      </c>
      <c r="P25" s="14">
        <f>O25*A25</f>
        <v>6</v>
      </c>
      <c r="R25" s="14" t="b" cm="1">
        <f t="array" ref="R25">IF(AND(H25="Elite",G25="Cmd Shot"),N/A)</f>
        <v>0</v>
      </c>
      <c r="T25" t="b" cm="1">
        <f t="array" ref="T25">IF(AND(H25="mediocre",G25="Regimental Artillery"),N/A)</f>
        <v>0</v>
      </c>
      <c r="V25">
        <f>IFERROR(IF(H25="Elite",VLOOKUP(E25,Troops!$A$3:$D$158,4,FALSE),IF(H25="Mediocre",VLOOKUP(E25,Troops!$A$3:$D$158,2,FALSE),VLOOKUP(E25,Troops!$A$3:$D$158,3,FALSE)))+R25+T25,"-")</f>
        <v>19</v>
      </c>
      <c r="X25" t="b">
        <f>IF(G25="Regimental Artillery",VLOOKUP(G25,Troops!$X$4:$Y$5,2,FALSE))</f>
        <v>0</v>
      </c>
      <c r="Z25" t="b">
        <f>IF(G25="Cmd Shot",VLOOKUP(G25,Troops!$X$4:$Y$5,2,FALSE))</f>
        <v>0</v>
      </c>
      <c r="AB25" t="b">
        <f>IF(G25="Stakes",VLOOKUP(G25,Troops!$X$4:$Y$6,2,FALSE))</f>
        <v>0</v>
      </c>
    </row>
    <row r="26" spans="1:28" x14ac:dyDescent="0.3">
      <c r="A26" s="23">
        <v>1</v>
      </c>
      <c r="B26" s="83" t="s">
        <v>333</v>
      </c>
      <c r="C26" s="84"/>
      <c r="D26" s="85"/>
      <c r="E26" s="83" t="s">
        <v>230</v>
      </c>
      <c r="F26" s="85"/>
      <c r="G26" s="32" t="s">
        <v>13</v>
      </c>
      <c r="H26" s="29" t="s">
        <v>13</v>
      </c>
      <c r="I26" s="86">
        <f t="shared" si="8"/>
        <v>16</v>
      </c>
      <c r="J26" s="87"/>
      <c r="K26" s="9">
        <f>IFERROR(SUM(A26*I26),"N/A")</f>
        <v>16</v>
      </c>
      <c r="M26" s="28">
        <f>VLOOKUP(E26,Troops!$A$3:$G$158,5,FALSE)*A26</f>
        <v>0</v>
      </c>
      <c r="N26" s="28"/>
      <c r="O26" s="14">
        <f>VLOOKUP(E26,Troops!$A$3:$F$158,6,FALSE)</f>
        <v>2</v>
      </c>
      <c r="P26" s="14">
        <f t="shared" ref="P26" si="9">O26*A26</f>
        <v>2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16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3"/>
      <c r="C27" s="84"/>
      <c r="D27" s="85"/>
      <c r="E27" s="83" t="s">
        <v>13</v>
      </c>
      <c r="F27" s="85"/>
      <c r="G27" s="32" t="s">
        <v>13</v>
      </c>
      <c r="H27" s="29" t="s">
        <v>13</v>
      </c>
      <c r="I27" s="86">
        <f t="shared" ref="I27:I28" si="10">IFERROR(R27+T27+V27+X27+Z27+AB27,"-")</f>
        <v>0</v>
      </c>
      <c r="J27" s="87"/>
      <c r="K27" s="9">
        <f t="shared" ref="K27:K28" si="11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28" si="12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ht="15" thickBot="1" x14ac:dyDescent="0.35">
      <c r="A28" s="24"/>
      <c r="B28" s="139"/>
      <c r="C28" s="140"/>
      <c r="D28" s="141"/>
      <c r="E28" s="139" t="s">
        <v>13</v>
      </c>
      <c r="F28" s="141"/>
      <c r="G28" s="63" t="s">
        <v>13</v>
      </c>
      <c r="H28" s="64" t="s">
        <v>13</v>
      </c>
      <c r="I28" s="124">
        <f t="shared" si="10"/>
        <v>0</v>
      </c>
      <c r="J28" s="125"/>
      <c r="K28" s="10">
        <f t="shared" si="11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si="12"/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ht="16.8" thickTop="1" thickBot="1" x14ac:dyDescent="0.35">
      <c r="A29" s="44">
        <f>SUM(P$25:P$28)</f>
        <v>8</v>
      </c>
      <c r="B29" s="111"/>
      <c r="C29" s="142"/>
      <c r="D29" s="142"/>
      <c r="E29" s="142"/>
      <c r="F29" s="142"/>
      <c r="G29" s="142"/>
      <c r="H29" s="142"/>
      <c r="I29" s="142"/>
      <c r="J29" s="142"/>
      <c r="K29" s="45">
        <f>SUM(K25:K28)+K23</f>
        <v>76</v>
      </c>
      <c r="M29" s="28"/>
      <c r="N29" s="28"/>
    </row>
    <row r="30" spans="1:28" ht="7.95" customHeight="1" thickTop="1" thickBot="1" x14ac:dyDescent="0.35">
      <c r="A30" s="2"/>
      <c r="B30" s="3"/>
      <c r="K30" s="2"/>
      <c r="M30" s="28"/>
      <c r="N30" s="28"/>
    </row>
    <row r="31" spans="1:28" ht="16.2" thickTop="1" x14ac:dyDescent="0.3">
      <c r="A31" s="106" t="s">
        <v>34</v>
      </c>
      <c r="B31" s="107"/>
      <c r="C31" s="107"/>
      <c r="D31" s="107"/>
      <c r="E31" s="107" t="s">
        <v>17</v>
      </c>
      <c r="F31" s="107"/>
      <c r="G31" s="39"/>
      <c r="H31" s="40" t="s">
        <v>18</v>
      </c>
      <c r="I31" s="88" t="s">
        <v>19</v>
      </c>
      <c r="J31" s="88"/>
      <c r="K31" s="36" t="s">
        <v>12</v>
      </c>
      <c r="M31" s="28"/>
      <c r="N31" s="28"/>
      <c r="O31" s="11" t="s">
        <v>5</v>
      </c>
      <c r="P31" s="11" t="s">
        <v>21</v>
      </c>
      <c r="R31" s="11" t="s">
        <v>22</v>
      </c>
      <c r="T31" s="11" t="s">
        <v>23</v>
      </c>
      <c r="V31" s="62" t="s">
        <v>12</v>
      </c>
      <c r="W31" s="62"/>
      <c r="X31" s="62" t="s">
        <v>24</v>
      </c>
      <c r="Y31" s="62"/>
      <c r="Z31" s="62" t="s">
        <v>25</v>
      </c>
      <c r="AB31" s="62" t="s">
        <v>26</v>
      </c>
    </row>
    <row r="32" spans="1:28" ht="15" thickBot="1" x14ac:dyDescent="0.35">
      <c r="A32" s="1"/>
      <c r="B32" s="108"/>
      <c r="C32" s="108"/>
      <c r="D32" s="108"/>
      <c r="E32" s="109"/>
      <c r="F32" s="109"/>
      <c r="G32" s="109"/>
      <c r="H32" s="55" t="s">
        <v>150</v>
      </c>
      <c r="I32" s="110" t="s">
        <v>13</v>
      </c>
      <c r="J32" s="110"/>
      <c r="K32" s="4">
        <f>VLOOKUP(H32,Troops!$H$3:$I$7,2,FALSE)+VLOOKUP(I32,Troops!$K$3:$L$8,2,FALSE)</f>
        <v>3</v>
      </c>
      <c r="M32" s="28"/>
      <c r="N32" s="28"/>
    </row>
    <row r="33" spans="1:28" ht="16.8" thickTop="1" thickBot="1" x14ac:dyDescent="0.35">
      <c r="A33" s="41" t="s">
        <v>27</v>
      </c>
      <c r="B33" s="111" t="s">
        <v>28</v>
      </c>
      <c r="C33" s="111"/>
      <c r="D33" s="111"/>
      <c r="E33" s="111" t="s">
        <v>29</v>
      </c>
      <c r="F33" s="111"/>
      <c r="G33" s="42" t="s">
        <v>30</v>
      </c>
      <c r="H33" s="43" t="s">
        <v>31</v>
      </c>
      <c r="I33" s="97" t="s">
        <v>12</v>
      </c>
      <c r="J33" s="97"/>
      <c r="K33" s="37" t="s">
        <v>32</v>
      </c>
      <c r="M33" s="28"/>
      <c r="N33" s="28"/>
    </row>
    <row r="34" spans="1:28" ht="15" thickTop="1" x14ac:dyDescent="0.3">
      <c r="A34" s="22">
        <v>3</v>
      </c>
      <c r="B34" s="83" t="s">
        <v>339</v>
      </c>
      <c r="C34" s="84"/>
      <c r="D34" s="85"/>
      <c r="E34" s="115" t="s">
        <v>282</v>
      </c>
      <c r="F34" s="116"/>
      <c r="G34" s="31" t="s">
        <v>13</v>
      </c>
      <c r="H34" s="25" t="s">
        <v>154</v>
      </c>
      <c r="I34" s="143">
        <f t="shared" ref="I34:I37" si="13">IFERROR(R34+T34+V34+X34+Z34+AB34,"-")</f>
        <v>13</v>
      </c>
      <c r="J34" s="144"/>
      <c r="K34" s="6">
        <f>IFERROR(SUM(A34*I34),"N/A")</f>
        <v>39</v>
      </c>
      <c r="M34" s="28">
        <f>VLOOKUP(E34,Troops!$A$3:$G$158,5,FALSE)*A34</f>
        <v>0</v>
      </c>
      <c r="N34" s="28"/>
      <c r="O34" s="14">
        <f>VLOOKUP(E34,Troops!$A$3:$F$158,6,FALSE)</f>
        <v>1</v>
      </c>
      <c r="P34" s="14">
        <f>O34*A34</f>
        <v>3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13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x14ac:dyDescent="0.3">
      <c r="A35" s="70">
        <v>1</v>
      </c>
      <c r="B35" s="83" t="s">
        <v>338</v>
      </c>
      <c r="C35" s="84"/>
      <c r="D35" s="85"/>
      <c r="E35" s="126" t="s">
        <v>265</v>
      </c>
      <c r="F35" s="127"/>
      <c r="G35" s="63" t="s">
        <v>13</v>
      </c>
      <c r="H35" s="64" t="s">
        <v>13</v>
      </c>
      <c r="I35" s="128">
        <f t="shared" si="13"/>
        <v>9</v>
      </c>
      <c r="J35" s="129"/>
      <c r="K35" s="71">
        <f>IFERROR(SUM(A35*I35),"N/A")</f>
        <v>9</v>
      </c>
      <c r="M35" s="28">
        <f>VLOOKUP(E35,Troops!$A$3:$G$158,5,FALSE)*A35</f>
        <v>0</v>
      </c>
      <c r="N35" s="28"/>
      <c r="O35" s="14">
        <f>VLOOKUP(E35,Troops!$A$3:$F$158,6,FALSE)</f>
        <v>1</v>
      </c>
      <c r="P35" s="14">
        <f>O35*A35</f>
        <v>1</v>
      </c>
      <c r="R35" s="14" t="b" cm="1">
        <f t="array" ref="R35">IF(AND(H35="Elite",G35="Cmd Shot"),N/A)</f>
        <v>0</v>
      </c>
      <c r="T35" t="b" cm="1">
        <f t="array" ref="T35">IF(AND(H35="mediocre",G35="Regimental Artillery"),N/A)</f>
        <v>0</v>
      </c>
      <c r="V35">
        <f>IFERROR(IF(H35="Elite",VLOOKUP(E35,Troops!$A$3:$D$158,4,FALSE),IF(H35="Mediocre",VLOOKUP(E35,Troops!$A$3:$D$158,2,FALSE),VLOOKUP(E35,Troops!$A$3:$D$158,3,FALSE)))+R35+T35,"-")</f>
        <v>9</v>
      </c>
      <c r="X35" t="b">
        <f>IF(G35="Regimental Artillery",VLOOKUP(G35,Troops!$X$4:$Y$5,2,FALSE))</f>
        <v>0</v>
      </c>
      <c r="Z35" t="b">
        <f>IF(G35="Cmd Shot",VLOOKUP(G35,Troops!$X$4:$Y$5,2,FALSE))</f>
        <v>0</v>
      </c>
      <c r="AB35" t="b">
        <f>IF(G35="Stakes",VLOOKUP(G35,Troops!$X$4:$Y$6,2,FALSE))</f>
        <v>0</v>
      </c>
    </row>
    <row r="36" spans="1:28" x14ac:dyDescent="0.3">
      <c r="A36" s="23">
        <v>1</v>
      </c>
      <c r="B36" s="83" t="s">
        <v>340</v>
      </c>
      <c r="C36" s="84"/>
      <c r="D36" s="85"/>
      <c r="E36" s="130" t="s">
        <v>168</v>
      </c>
      <c r="F36" s="131"/>
      <c r="G36" s="32" t="s">
        <v>13</v>
      </c>
      <c r="H36" s="29" t="s">
        <v>13</v>
      </c>
      <c r="I36" s="86">
        <f t="shared" si="13"/>
        <v>11</v>
      </c>
      <c r="J36" s="87"/>
      <c r="K36" s="9">
        <f t="shared" ref="K36:K37" si="14">IFERROR(SUM(A36*I36),"N/A")</f>
        <v>11</v>
      </c>
      <c r="M36" s="28">
        <f>VLOOKUP(E36,Troops!$A$3:$G$158,5,FALSE)*A36</f>
        <v>0</v>
      </c>
      <c r="N36" s="28"/>
      <c r="O36" s="14">
        <f>VLOOKUP(E36,Troops!$A$3:$F$158,6,FALSE)</f>
        <v>2</v>
      </c>
      <c r="P36" s="14">
        <f t="shared" ref="P36:P37" si="15">O36*A36</f>
        <v>2</v>
      </c>
      <c r="R36" s="14" t="b" cm="1">
        <f t="array" ref="R36">IF(AND(H36="Elite",G36="Cmd Shot"),N/A)</f>
        <v>0</v>
      </c>
      <c r="T36" t="b" cm="1">
        <f t="array" ref="T36">IF(AND(H36="mediocre",G36="Regimental Artillery"),N/A)</f>
        <v>0</v>
      </c>
      <c r="V36">
        <f>IFERROR(IF(H36="Elite",VLOOKUP(E36,Troops!$A$3:$D$158,4,FALSE),IF(H36="Mediocre",VLOOKUP(E36,Troops!$A$3:$D$158,2,FALSE),VLOOKUP(E36,Troops!$A$3:$D$158,3,FALSE)))+R36+T36,"-")</f>
        <v>11</v>
      </c>
      <c r="X36" t="b">
        <f>IF(G36="Regimental Artillery",VLOOKUP(G36,Troops!$X$4:$Y$5,2,FALSE))</f>
        <v>0</v>
      </c>
      <c r="Z36" t="b">
        <f>IF(G36="Cmd Shot",VLOOKUP(G36,Troops!$X$4:$Y$5,2,FALSE))</f>
        <v>0</v>
      </c>
      <c r="AB36" t="b">
        <f>IF(G36="Stakes",VLOOKUP(G36,Troops!$X$4:$Y$6,2,FALSE))</f>
        <v>0</v>
      </c>
    </row>
    <row r="37" spans="1:28" ht="15" thickBot="1" x14ac:dyDescent="0.35">
      <c r="A37" s="24"/>
      <c r="B37" s="132"/>
      <c r="C37" s="133"/>
      <c r="D37" s="134"/>
      <c r="E37" s="135" t="s">
        <v>13</v>
      </c>
      <c r="F37" s="136"/>
      <c r="G37" s="33" t="s">
        <v>13</v>
      </c>
      <c r="H37" s="30" t="s">
        <v>13</v>
      </c>
      <c r="I37" s="124">
        <f t="shared" si="13"/>
        <v>0</v>
      </c>
      <c r="J37" s="125"/>
      <c r="K37" s="10">
        <f t="shared" si="14"/>
        <v>0</v>
      </c>
      <c r="M37" s="28">
        <f>VLOOKUP(E37,Troops!$A$3:$G$158,5,FALSE)*A37</f>
        <v>0</v>
      </c>
      <c r="N37" s="28"/>
      <c r="O37" s="14">
        <f>VLOOKUP(E37,Troops!$A$3:$F$158,6,FALSE)</f>
        <v>0</v>
      </c>
      <c r="P37" s="14">
        <f t="shared" si="15"/>
        <v>0</v>
      </c>
      <c r="R37" s="14" t="b" cm="1">
        <f t="array" ref="R37">IF(AND(H37="Elite",G37="Cmd Shot"),N/A)</f>
        <v>0</v>
      </c>
      <c r="T37" t="b" cm="1">
        <f t="array" ref="T37">IF(AND(H37="mediocre",G37="Regimental Artillery"),N/A)</f>
        <v>0</v>
      </c>
      <c r="V37">
        <f>IFERROR(IF(H37="Elite",VLOOKUP(E37,Troops!$A$3:$D$158,4,FALSE),IF(H37="Mediocre",VLOOKUP(E37,Troops!$A$3:$D$158,2,FALSE),VLOOKUP(E37,Troops!$A$3:$D$158,3,FALSE)))+R37+T37,"-")</f>
        <v>0</v>
      </c>
      <c r="X37" t="b">
        <f>IF(G37="Regimental Artillery",VLOOKUP(G37,Troops!$X$4:$Y$5,2,FALSE))</f>
        <v>0</v>
      </c>
      <c r="Z37" t="b">
        <f>IF(G37="Cmd Shot",VLOOKUP(G37,Troops!$X$4:$Y$5,2,FALSE))</f>
        <v>0</v>
      </c>
      <c r="AB37" t="b">
        <f>IF(G37="Stakes",VLOOKUP(G37,Troops!$X$4:$Y$6,2,FALSE))</f>
        <v>0</v>
      </c>
    </row>
    <row r="38" spans="1:28" ht="16.8" thickTop="1" thickBot="1" x14ac:dyDescent="0.35">
      <c r="A38" s="44">
        <f>SUM(P$34:P$37)</f>
        <v>6</v>
      </c>
      <c r="B38" s="111"/>
      <c r="C38" s="145"/>
      <c r="D38" s="145"/>
      <c r="E38" s="145"/>
      <c r="F38" s="145"/>
      <c r="G38" s="145"/>
      <c r="H38" s="145"/>
      <c r="I38" s="145"/>
      <c r="J38" s="145"/>
      <c r="K38" s="45">
        <f>SUM(K34:K37)+K32</f>
        <v>62</v>
      </c>
      <c r="M38" s="28"/>
      <c r="N38" s="28"/>
    </row>
    <row r="39" spans="1:28" ht="7.95" customHeight="1" thickTop="1" thickBot="1" x14ac:dyDescent="0.35">
      <c r="M39" s="28">
        <f>SUM(M12:M37)</f>
        <v>1</v>
      </c>
      <c r="N39" s="28"/>
    </row>
    <row r="40" spans="1:28" ht="16.8" thickTop="1" thickBot="1" x14ac:dyDescent="0.35">
      <c r="A40" s="46">
        <f>SUM(A20+A29+A38+M5)</f>
        <v>23</v>
      </c>
      <c r="B40" s="146" t="s">
        <v>35</v>
      </c>
      <c r="C40" s="146"/>
      <c r="D40" s="146"/>
      <c r="E40" s="146"/>
      <c r="F40" s="146"/>
      <c r="G40" s="47"/>
      <c r="H40" s="146" t="s">
        <v>36</v>
      </c>
      <c r="I40" s="146"/>
      <c r="J40" s="146"/>
      <c r="K40" s="48">
        <f>SUM(F7+K6+K7+K20+K29+K38)</f>
        <v>218</v>
      </c>
    </row>
    <row r="41" spans="1:28" ht="15" thickTop="1" x14ac:dyDescent="0.3"/>
  </sheetData>
  <mergeCells count="91">
    <mergeCell ref="D40:F40"/>
    <mergeCell ref="B40:C40"/>
    <mergeCell ref="H40:J40"/>
    <mergeCell ref="B38:J38"/>
    <mergeCell ref="B20:J20"/>
    <mergeCell ref="B19:D19"/>
    <mergeCell ref="I23:J23"/>
    <mergeCell ref="B24:D24"/>
    <mergeCell ref="E24:F24"/>
    <mergeCell ref="I24:J24"/>
    <mergeCell ref="B29:J29"/>
    <mergeCell ref="B32:D32"/>
    <mergeCell ref="E32:G32"/>
    <mergeCell ref="I31:J31"/>
    <mergeCell ref="A31:D31"/>
    <mergeCell ref="E31:F31"/>
    <mergeCell ref="B37:D37"/>
    <mergeCell ref="E37:F37"/>
    <mergeCell ref="I37:J37"/>
    <mergeCell ref="E33:F33"/>
    <mergeCell ref="I33:J33"/>
    <mergeCell ref="I36:J36"/>
    <mergeCell ref="I34:J34"/>
    <mergeCell ref="I35:J35"/>
    <mergeCell ref="A9:D9"/>
    <mergeCell ref="E9:F9"/>
    <mergeCell ref="I9:J9"/>
    <mergeCell ref="I18:J18"/>
    <mergeCell ref="I19:J19"/>
    <mergeCell ref="B11:D11"/>
    <mergeCell ref="E11:F11"/>
    <mergeCell ref="I11:J11"/>
    <mergeCell ref="E19:F19"/>
    <mergeCell ref="B18:D18"/>
    <mergeCell ref="E16:F16"/>
    <mergeCell ref="I10:J10"/>
    <mergeCell ref="B10:D10"/>
    <mergeCell ref="B17:D17"/>
    <mergeCell ref="E17:F17"/>
    <mergeCell ref="I17:J17"/>
    <mergeCell ref="C7:D7"/>
    <mergeCell ref="H6:I6"/>
    <mergeCell ref="H7:I7"/>
    <mergeCell ref="G3:J3"/>
    <mergeCell ref="G2:J2"/>
    <mergeCell ref="D2:F2"/>
    <mergeCell ref="D3:F3"/>
    <mergeCell ref="C5:E5"/>
    <mergeCell ref="H5:I5"/>
    <mergeCell ref="C6:D6"/>
    <mergeCell ref="E10:G10"/>
    <mergeCell ref="E18:F18"/>
    <mergeCell ref="B28:D28"/>
    <mergeCell ref="B36:D36"/>
    <mergeCell ref="E36:F36"/>
    <mergeCell ref="E15:F15"/>
    <mergeCell ref="B34:D34"/>
    <mergeCell ref="E34:F34"/>
    <mergeCell ref="B15:D15"/>
    <mergeCell ref="B25:D25"/>
    <mergeCell ref="E25:F25"/>
    <mergeCell ref="B35:D35"/>
    <mergeCell ref="E35:F35"/>
    <mergeCell ref="A22:D22"/>
    <mergeCell ref="E22:F22"/>
    <mergeCell ref="B23:D23"/>
    <mergeCell ref="B33:D33"/>
    <mergeCell ref="B16:D16"/>
    <mergeCell ref="I25:J25"/>
    <mergeCell ref="I16:J16"/>
    <mergeCell ref="I15:J15"/>
    <mergeCell ref="I32:J32"/>
    <mergeCell ref="B26:D26"/>
    <mergeCell ref="E26:F26"/>
    <mergeCell ref="I26:J26"/>
    <mergeCell ref="I22:J22"/>
    <mergeCell ref="E23:G23"/>
    <mergeCell ref="B27:D27"/>
    <mergeCell ref="E27:F27"/>
    <mergeCell ref="I27:J27"/>
    <mergeCell ref="E28:F28"/>
    <mergeCell ref="I28:J28"/>
    <mergeCell ref="B12:D12"/>
    <mergeCell ref="E12:F12"/>
    <mergeCell ref="I12:J12"/>
    <mergeCell ref="B14:D14"/>
    <mergeCell ref="E14:F14"/>
    <mergeCell ref="I14:J14"/>
    <mergeCell ref="B13:D13"/>
    <mergeCell ref="E13:F13"/>
    <mergeCell ref="I13:J13"/>
  </mergeCells>
  <dataValidations count="7">
    <dataValidation type="list" allowBlank="1" showInputMessage="1" showErrorMessage="1" sqref="E25:F28 E34:F37 E12:F19" xr:uid="{F7ABACBE-B064-472D-BC8E-FA92C29286EB}">
      <formula1>Troops</formula1>
    </dataValidation>
    <dataValidation type="list" allowBlank="1" showInputMessage="1" showErrorMessage="1" sqref="H25:H28 H34:H37 H12:H19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3 H32" xr:uid="{02A8E687-46F8-4EB1-8F21-3CD04C6FE8B5}">
      <formula1>Generals</formula1>
    </dataValidation>
    <dataValidation type="list" allowBlank="1" showInputMessage="1" showErrorMessage="1" sqref="I10:J10 I23:J23 I32:J32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25:G28 G34:G37 G12:G19" xr:uid="{B169CA47-7B31-406E-9576-37E5BA1E823F}">
      <formula1>Options</formula1>
    </dataValidation>
  </dataValidations>
  <pageMargins left="0.25" right="0.25" top="0.75" bottom="0.75" header="0.3" footer="0.3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777343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77734375" style="14" hidden="1" customWidth="1"/>
    <col min="15" max="15" width="12" style="14" hidden="1" customWidth="1"/>
    <col min="16" max="18" width="8.77734375" style="14" hidden="1" customWidth="1"/>
    <col min="19" max="19" width="8.77734375" hidden="1" customWidth="1"/>
    <col min="20" max="20" width="19.109375" hidden="1" customWidth="1"/>
    <col min="21" max="28" width="8.77734375" hidden="1" customWidth="1"/>
    <col min="29" max="29" width="8.777343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8" t="s">
        <v>1</v>
      </c>
      <c r="E2" s="88"/>
      <c r="F2" s="88"/>
      <c r="G2" s="89" t="s">
        <v>2</v>
      </c>
      <c r="H2" s="89"/>
      <c r="I2" s="89"/>
      <c r="J2" s="89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135" t="str">
        <f>VLOOKUP(C3,'Armies v4'!A1:B92,2,FALSE)</f>
        <v>----------------------</v>
      </c>
      <c r="E3" s="148"/>
      <c r="F3" s="136"/>
      <c r="G3" s="155"/>
      <c r="H3" s="156"/>
      <c r="I3" s="156"/>
      <c r="J3" s="157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5500000000000007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96" t="s">
        <v>8</v>
      </c>
      <c r="D5" s="97"/>
      <c r="E5" s="97"/>
      <c r="F5" s="38" t="s">
        <v>9</v>
      </c>
      <c r="G5" s="19"/>
      <c r="H5" s="98" t="s">
        <v>10</v>
      </c>
      <c r="I5" s="9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49" t="s">
        <v>13</v>
      </c>
      <c r="D6" s="150"/>
      <c r="E6" s="25" t="s">
        <v>13</v>
      </c>
      <c r="F6" s="25" t="s">
        <v>13</v>
      </c>
      <c r="G6" s="20"/>
      <c r="H6" s="151" t="s">
        <v>14</v>
      </c>
      <c r="I6" s="151"/>
      <c r="J6" s="25">
        <v>0</v>
      </c>
      <c r="K6" s="6">
        <f>J6*1</f>
        <v>0</v>
      </c>
      <c r="N6" s="26"/>
    </row>
    <row r="7" spans="1:28" ht="16.2" thickBot="1" x14ac:dyDescent="0.35">
      <c r="C7" s="152" t="s">
        <v>13</v>
      </c>
      <c r="D7" s="153"/>
      <c r="E7" s="30" t="s">
        <v>13</v>
      </c>
      <c r="F7" s="49" t="str">
        <f>IFERROR(VLOOKUP(F6,Troops!AG4:AH5,2,FALSE),"0")</f>
        <v>0</v>
      </c>
      <c r="G7" s="21"/>
      <c r="H7" s="154" t="s">
        <v>15</v>
      </c>
      <c r="I7" s="154"/>
      <c r="J7" s="30">
        <v>0</v>
      </c>
      <c r="K7" s="7">
        <f>J7*0.5</f>
        <v>0</v>
      </c>
    </row>
    <row r="8" spans="1:28" ht="7.95" customHeight="1" thickTop="1" thickBot="1" x14ac:dyDescent="0.35"/>
    <row r="9" spans="1:28" ht="16.2" thickTop="1" x14ac:dyDescent="0.3">
      <c r="A9" s="106" t="s">
        <v>16</v>
      </c>
      <c r="B9" s="107"/>
      <c r="C9" s="107"/>
      <c r="D9" s="107"/>
      <c r="E9" s="107" t="s">
        <v>17</v>
      </c>
      <c r="F9" s="107"/>
      <c r="G9" s="39"/>
      <c r="H9" s="40" t="s">
        <v>18</v>
      </c>
      <c r="I9" s="88" t="s">
        <v>19</v>
      </c>
      <c r="J9" s="8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08"/>
      <c r="C10" s="108"/>
      <c r="D10" s="108"/>
      <c r="E10" s="109"/>
      <c r="F10" s="109"/>
      <c r="G10" s="109"/>
      <c r="H10" s="55" t="s">
        <v>13</v>
      </c>
      <c r="I10" s="110" t="s">
        <v>13</v>
      </c>
      <c r="J10" s="110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111" t="s">
        <v>28</v>
      </c>
      <c r="C11" s="111"/>
      <c r="D11" s="111"/>
      <c r="E11" s="111" t="s">
        <v>29</v>
      </c>
      <c r="F11" s="111"/>
      <c r="G11" s="42" t="s">
        <v>30</v>
      </c>
      <c r="H11" s="43" t="s">
        <v>31</v>
      </c>
      <c r="I11" s="97" t="s">
        <v>12</v>
      </c>
      <c r="J11" s="97"/>
      <c r="K11" s="37" t="s">
        <v>32</v>
      </c>
      <c r="M11" s="28"/>
      <c r="N11" s="28"/>
    </row>
    <row r="12" spans="1:28" ht="15" thickTop="1" x14ac:dyDescent="0.3">
      <c r="A12" s="22"/>
      <c r="B12" s="112"/>
      <c r="C12" s="113"/>
      <c r="D12" s="114"/>
      <c r="E12" s="115" t="s">
        <v>13</v>
      </c>
      <c r="F12" s="116"/>
      <c r="G12" s="31" t="s">
        <v>13</v>
      </c>
      <c r="H12" s="25" t="s">
        <v>13</v>
      </c>
      <c r="I12" s="143">
        <f>IFERROR(R12+T12+V12+X12+Z12+AB12,"-")</f>
        <v>0</v>
      </c>
      <c r="J12" s="144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83"/>
      <c r="C13" s="84"/>
      <c r="D13" s="85"/>
      <c r="E13" s="130" t="s">
        <v>13</v>
      </c>
      <c r="F13" s="131"/>
      <c r="G13" s="32" t="s">
        <v>13</v>
      </c>
      <c r="H13" s="60" t="s">
        <v>13</v>
      </c>
      <c r="I13" s="86">
        <f t="shared" ref="I13:I20" si="0">IFERROR(R13+T13+V13+X13+Z13+AB13,"-")</f>
        <v>0</v>
      </c>
      <c r="J13" s="87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83"/>
      <c r="C14" s="84"/>
      <c r="D14" s="85"/>
      <c r="E14" s="130" t="s">
        <v>13</v>
      </c>
      <c r="F14" s="147"/>
      <c r="G14" s="32" t="s">
        <v>13</v>
      </c>
      <c r="H14" s="60" t="s">
        <v>13</v>
      </c>
      <c r="I14" s="86">
        <f t="shared" ref="I14:I15" si="3">IFERROR(R14+T14+V14+X14+Z14+AB14,"-")</f>
        <v>0</v>
      </c>
      <c r="J14" s="87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3"/>
      <c r="C15" s="84"/>
      <c r="D15" s="85"/>
      <c r="E15" s="130" t="s">
        <v>13</v>
      </c>
      <c r="F15" s="147"/>
      <c r="G15" s="32" t="s">
        <v>13</v>
      </c>
      <c r="H15" s="60" t="s">
        <v>13</v>
      </c>
      <c r="I15" s="86">
        <f t="shared" si="3"/>
        <v>0</v>
      </c>
      <c r="J15" s="87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3"/>
      <c r="C16" s="84"/>
      <c r="D16" s="85"/>
      <c r="E16" s="130" t="s">
        <v>13</v>
      </c>
      <c r="F16" s="131"/>
      <c r="G16" s="32" t="s">
        <v>13</v>
      </c>
      <c r="H16" s="60" t="s">
        <v>13</v>
      </c>
      <c r="I16" s="86">
        <f t="shared" si="0"/>
        <v>0</v>
      </c>
      <c r="J16" s="87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3"/>
      <c r="C17" s="84"/>
      <c r="D17" s="85"/>
      <c r="E17" s="130" t="s">
        <v>13</v>
      </c>
      <c r="F17" s="131"/>
      <c r="G17" s="32" t="s">
        <v>13</v>
      </c>
      <c r="H17" s="60" t="s">
        <v>13</v>
      </c>
      <c r="I17" s="86">
        <f t="shared" si="0"/>
        <v>0</v>
      </c>
      <c r="J17" s="87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3"/>
      <c r="C18" s="84"/>
      <c r="D18" s="85"/>
      <c r="E18" s="130" t="s">
        <v>13</v>
      </c>
      <c r="F18" s="131"/>
      <c r="G18" s="32" t="s">
        <v>13</v>
      </c>
      <c r="H18" s="60" t="s">
        <v>13</v>
      </c>
      <c r="I18" s="86">
        <f t="shared" si="0"/>
        <v>0</v>
      </c>
      <c r="J18" s="87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3"/>
      <c r="C19" s="84"/>
      <c r="D19" s="85"/>
      <c r="E19" s="130" t="s">
        <v>13</v>
      </c>
      <c r="F19" s="131"/>
      <c r="G19" s="32" t="s">
        <v>13</v>
      </c>
      <c r="H19" s="60" t="s">
        <v>13</v>
      </c>
      <c r="I19" s="86">
        <f t="shared" si="0"/>
        <v>0</v>
      </c>
      <c r="J19" s="87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32"/>
      <c r="C20" s="133"/>
      <c r="D20" s="134"/>
      <c r="E20" s="135" t="s">
        <v>13</v>
      </c>
      <c r="F20" s="136"/>
      <c r="G20" s="33" t="s">
        <v>13</v>
      </c>
      <c r="H20" s="30" t="s">
        <v>13</v>
      </c>
      <c r="I20" s="124">
        <f t="shared" si="0"/>
        <v>0</v>
      </c>
      <c r="J20" s="125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37"/>
      <c r="C21" s="138"/>
      <c r="D21" s="138"/>
      <c r="E21" s="138"/>
      <c r="F21" s="138"/>
      <c r="G21" s="138"/>
      <c r="H21" s="138"/>
      <c r="I21" s="138"/>
      <c r="J21" s="138"/>
      <c r="K21" s="45">
        <f>SUM(K12:K20)+K10</f>
        <v>0</v>
      </c>
      <c r="M21" s="28"/>
      <c r="N21" s="28"/>
    </row>
    <row r="22" spans="1:28" ht="7.95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106" t="s">
        <v>33</v>
      </c>
      <c r="B23" s="107"/>
      <c r="C23" s="107"/>
      <c r="D23" s="107"/>
      <c r="E23" s="107" t="s">
        <v>17</v>
      </c>
      <c r="F23" s="107"/>
      <c r="G23" s="39"/>
      <c r="H23" s="40" t="s">
        <v>18</v>
      </c>
      <c r="I23" s="88" t="s">
        <v>19</v>
      </c>
      <c r="J23" s="8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08"/>
      <c r="C24" s="108"/>
      <c r="D24" s="108"/>
      <c r="E24" s="109"/>
      <c r="F24" s="109"/>
      <c r="G24" s="109"/>
      <c r="H24" s="55" t="s">
        <v>13</v>
      </c>
      <c r="I24" s="110" t="s">
        <v>13</v>
      </c>
      <c r="J24" s="110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111" t="s">
        <v>28</v>
      </c>
      <c r="C25" s="111"/>
      <c r="D25" s="111"/>
      <c r="E25" s="111" t="s">
        <v>29</v>
      </c>
      <c r="F25" s="111"/>
      <c r="G25" s="42" t="s">
        <v>30</v>
      </c>
      <c r="H25" s="43" t="s">
        <v>31</v>
      </c>
      <c r="I25" s="88" t="s">
        <v>12</v>
      </c>
      <c r="J25" s="88"/>
      <c r="K25" s="37" t="s">
        <v>32</v>
      </c>
      <c r="M25" s="28"/>
      <c r="N25" s="28"/>
    </row>
    <row r="26" spans="1:28" ht="15" thickTop="1" x14ac:dyDescent="0.3">
      <c r="A26" s="22"/>
      <c r="B26" s="112"/>
      <c r="C26" s="113"/>
      <c r="D26" s="114"/>
      <c r="E26" s="112" t="s">
        <v>13</v>
      </c>
      <c r="F26" s="114"/>
      <c r="G26" s="31" t="s">
        <v>13</v>
      </c>
      <c r="H26" s="25" t="s">
        <v>13</v>
      </c>
      <c r="I26" s="143">
        <f>IFERROR(R26+T26+V26+X26+Z26+AB26,"-")</f>
        <v>0</v>
      </c>
      <c r="J26" s="144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3"/>
      <c r="C27" s="84"/>
      <c r="D27" s="85"/>
      <c r="E27" s="83" t="s">
        <v>13</v>
      </c>
      <c r="F27" s="85"/>
      <c r="G27" s="32" t="s">
        <v>13</v>
      </c>
      <c r="H27" s="29" t="s">
        <v>13</v>
      </c>
      <c r="I27" s="86">
        <f t="shared" ref="I27:I34" si="5">IFERROR(R27+T27+V27+X27+Z27+AB27,"-")</f>
        <v>0</v>
      </c>
      <c r="J27" s="87"/>
      <c r="K27" s="9">
        <f t="shared" ref="K27:K34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58"/>
      <c r="C28" s="159"/>
      <c r="D28" s="160"/>
      <c r="E28" s="83" t="s">
        <v>13</v>
      </c>
      <c r="F28" s="85"/>
      <c r="G28" s="32" t="s">
        <v>13</v>
      </c>
      <c r="H28" s="29" t="s">
        <v>13</v>
      </c>
      <c r="I28" s="86">
        <f t="shared" ref="I28:I29" si="8">IFERROR(R28+T28+V28+X28+Z28+AB28,"-")</f>
        <v>0</v>
      </c>
      <c r="J28" s="87"/>
      <c r="K28" s="9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58"/>
      <c r="C29" s="159"/>
      <c r="D29" s="160"/>
      <c r="E29" s="83" t="s">
        <v>13</v>
      </c>
      <c r="F29" s="85"/>
      <c r="G29" s="32" t="s">
        <v>13</v>
      </c>
      <c r="H29" s="29" t="s">
        <v>13</v>
      </c>
      <c r="I29" s="86">
        <f t="shared" si="8"/>
        <v>0</v>
      </c>
      <c r="J29" s="87"/>
      <c r="K29" s="9">
        <f t="shared" si="6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3"/>
      <c r="C30" s="84"/>
      <c r="D30" s="85"/>
      <c r="E30" s="83" t="s">
        <v>13</v>
      </c>
      <c r="F30" s="85"/>
      <c r="G30" s="32" t="s">
        <v>13</v>
      </c>
      <c r="H30" s="29" t="s">
        <v>13</v>
      </c>
      <c r="I30" s="86">
        <f t="shared" si="5"/>
        <v>0</v>
      </c>
      <c r="J30" s="87"/>
      <c r="K30" s="9">
        <f t="shared" si="6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3"/>
      <c r="C31" s="84"/>
      <c r="D31" s="85"/>
      <c r="E31" s="83" t="s">
        <v>13</v>
      </c>
      <c r="F31" s="85"/>
      <c r="G31" s="32" t="s">
        <v>13</v>
      </c>
      <c r="H31" s="29" t="s">
        <v>13</v>
      </c>
      <c r="I31" s="86">
        <f t="shared" si="5"/>
        <v>0</v>
      </c>
      <c r="J31" s="87"/>
      <c r="K31" s="9">
        <f t="shared" si="6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3"/>
      <c r="C32" s="84"/>
      <c r="D32" s="85"/>
      <c r="E32" s="83" t="s">
        <v>13</v>
      </c>
      <c r="F32" s="85"/>
      <c r="G32" s="32" t="s">
        <v>13</v>
      </c>
      <c r="H32" s="29" t="s">
        <v>13</v>
      </c>
      <c r="I32" s="86">
        <f t="shared" si="5"/>
        <v>0</v>
      </c>
      <c r="J32" s="87"/>
      <c r="K32" s="9">
        <f t="shared" si="6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3"/>
      <c r="C33" s="84"/>
      <c r="D33" s="85"/>
      <c r="E33" s="83" t="s">
        <v>13</v>
      </c>
      <c r="F33" s="85"/>
      <c r="G33" s="32" t="s">
        <v>13</v>
      </c>
      <c r="H33" s="29" t="s">
        <v>13</v>
      </c>
      <c r="I33" s="86">
        <f t="shared" si="5"/>
        <v>0</v>
      </c>
      <c r="J33" s="87"/>
      <c r="K33" s="9">
        <f t="shared" si="6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139"/>
      <c r="C34" s="140"/>
      <c r="D34" s="141"/>
      <c r="E34" s="139" t="s">
        <v>13</v>
      </c>
      <c r="F34" s="141"/>
      <c r="G34" s="63" t="s">
        <v>13</v>
      </c>
      <c r="H34" s="64" t="s">
        <v>13</v>
      </c>
      <c r="I34" s="124">
        <f t="shared" si="5"/>
        <v>0</v>
      </c>
      <c r="J34" s="125"/>
      <c r="K34" s="10">
        <f t="shared" si="6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111"/>
      <c r="C35" s="142"/>
      <c r="D35" s="142"/>
      <c r="E35" s="142"/>
      <c r="F35" s="142"/>
      <c r="G35" s="142"/>
      <c r="H35" s="142"/>
      <c r="I35" s="142"/>
      <c r="J35" s="142"/>
      <c r="K35" s="45">
        <f>SUM(K26:K34)+K24</f>
        <v>0</v>
      </c>
      <c r="M35" s="28"/>
      <c r="N35" s="28"/>
    </row>
    <row r="36" spans="1:28" ht="7.95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106" t="s">
        <v>34</v>
      </c>
      <c r="B37" s="107"/>
      <c r="C37" s="107"/>
      <c r="D37" s="107"/>
      <c r="E37" s="107" t="s">
        <v>17</v>
      </c>
      <c r="F37" s="107"/>
      <c r="G37" s="39"/>
      <c r="H37" s="40" t="s">
        <v>18</v>
      </c>
      <c r="I37" s="88" t="s">
        <v>19</v>
      </c>
      <c r="J37" s="8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08"/>
      <c r="C38" s="108"/>
      <c r="D38" s="108"/>
      <c r="E38" s="109"/>
      <c r="F38" s="109"/>
      <c r="G38" s="109"/>
      <c r="H38" s="55" t="s">
        <v>13</v>
      </c>
      <c r="I38" s="110" t="s">
        <v>13</v>
      </c>
      <c r="J38" s="110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111" t="s">
        <v>28</v>
      </c>
      <c r="C39" s="111"/>
      <c r="D39" s="111"/>
      <c r="E39" s="111" t="s">
        <v>29</v>
      </c>
      <c r="F39" s="111"/>
      <c r="G39" s="42" t="s">
        <v>30</v>
      </c>
      <c r="H39" s="43" t="s">
        <v>31</v>
      </c>
      <c r="I39" s="97" t="s">
        <v>12</v>
      </c>
      <c r="J39" s="97"/>
      <c r="K39" s="37" t="s">
        <v>32</v>
      </c>
      <c r="M39" s="28"/>
      <c r="N39" s="28"/>
    </row>
    <row r="40" spans="1:28" ht="15" thickTop="1" x14ac:dyDescent="0.3">
      <c r="A40" s="22"/>
      <c r="B40" s="112"/>
      <c r="C40" s="113"/>
      <c r="D40" s="114"/>
      <c r="E40" s="115" t="s">
        <v>13</v>
      </c>
      <c r="F40" s="116"/>
      <c r="G40" s="31" t="s">
        <v>13</v>
      </c>
      <c r="H40" s="25" t="s">
        <v>13</v>
      </c>
      <c r="I40" s="143">
        <f>IFERROR(R40+T40+V40+X40+Z40+AB40,"-")</f>
        <v>0</v>
      </c>
      <c r="J40" s="144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83"/>
      <c r="C41" s="84"/>
      <c r="D41" s="85"/>
      <c r="E41" s="130" t="s">
        <v>13</v>
      </c>
      <c r="F41" s="131"/>
      <c r="G41" s="32" t="s">
        <v>13</v>
      </c>
      <c r="H41" s="29" t="s">
        <v>13</v>
      </c>
      <c r="I41" s="86">
        <f t="shared" ref="I41:I48" si="10">IFERROR(R41+T41+V41+X41+Z41+AB41,"-")</f>
        <v>0</v>
      </c>
      <c r="J41" s="87"/>
      <c r="K41" s="9">
        <f t="shared" ref="K41:K48" si="11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58"/>
      <c r="C42" s="159"/>
      <c r="D42" s="160"/>
      <c r="E42" s="130" t="s">
        <v>13</v>
      </c>
      <c r="F42" s="131"/>
      <c r="G42" s="32" t="s">
        <v>13</v>
      </c>
      <c r="H42" s="29" t="s">
        <v>13</v>
      </c>
      <c r="I42" s="86">
        <f t="shared" ref="I42:I43" si="13">IFERROR(R42+T42+V42+X42+Z42+AB42,"-")</f>
        <v>0</v>
      </c>
      <c r="J42" s="87"/>
      <c r="K42" s="9">
        <f t="shared" si="11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58"/>
      <c r="C43" s="159"/>
      <c r="D43" s="160"/>
      <c r="E43" s="130" t="s">
        <v>13</v>
      </c>
      <c r="F43" s="131"/>
      <c r="G43" s="32" t="s">
        <v>13</v>
      </c>
      <c r="H43" s="29" t="s">
        <v>13</v>
      </c>
      <c r="I43" s="86">
        <f t="shared" si="13"/>
        <v>0</v>
      </c>
      <c r="J43" s="87"/>
      <c r="K43" s="9">
        <f t="shared" si="11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3"/>
      <c r="C44" s="84"/>
      <c r="D44" s="85"/>
      <c r="E44" s="130" t="s">
        <v>13</v>
      </c>
      <c r="F44" s="131"/>
      <c r="G44" s="32" t="s">
        <v>13</v>
      </c>
      <c r="H44" s="29" t="s">
        <v>13</v>
      </c>
      <c r="I44" s="86">
        <f t="shared" si="10"/>
        <v>0</v>
      </c>
      <c r="J44" s="87"/>
      <c r="K44" s="9">
        <f t="shared" si="11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3"/>
      <c r="C45" s="84"/>
      <c r="D45" s="85"/>
      <c r="E45" s="130" t="s">
        <v>13</v>
      </c>
      <c r="F45" s="131"/>
      <c r="G45" s="32" t="s">
        <v>13</v>
      </c>
      <c r="H45" s="29" t="s">
        <v>13</v>
      </c>
      <c r="I45" s="86">
        <f t="shared" si="10"/>
        <v>0</v>
      </c>
      <c r="J45" s="87"/>
      <c r="K45" s="9">
        <f t="shared" si="11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3"/>
      <c r="C46" s="84"/>
      <c r="D46" s="85"/>
      <c r="E46" s="130" t="s">
        <v>13</v>
      </c>
      <c r="F46" s="131"/>
      <c r="G46" s="32" t="s">
        <v>13</v>
      </c>
      <c r="H46" s="29" t="s">
        <v>13</v>
      </c>
      <c r="I46" s="86">
        <f t="shared" si="10"/>
        <v>0</v>
      </c>
      <c r="J46" s="87"/>
      <c r="K46" s="9">
        <f t="shared" si="11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3"/>
      <c r="C47" s="84"/>
      <c r="D47" s="85"/>
      <c r="E47" s="130" t="s">
        <v>13</v>
      </c>
      <c r="F47" s="131"/>
      <c r="G47" s="32" t="s">
        <v>13</v>
      </c>
      <c r="H47" s="29" t="s">
        <v>13</v>
      </c>
      <c r="I47" s="86">
        <f t="shared" si="10"/>
        <v>0</v>
      </c>
      <c r="J47" s="87"/>
      <c r="K47" s="9">
        <f t="shared" si="11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32"/>
      <c r="C48" s="133"/>
      <c r="D48" s="134"/>
      <c r="E48" s="135" t="s">
        <v>13</v>
      </c>
      <c r="F48" s="136"/>
      <c r="G48" s="33" t="s">
        <v>13</v>
      </c>
      <c r="H48" s="30" t="s">
        <v>13</v>
      </c>
      <c r="I48" s="124">
        <f t="shared" si="10"/>
        <v>0</v>
      </c>
      <c r="J48" s="125"/>
      <c r="K48" s="10">
        <f t="shared" si="11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111"/>
      <c r="C49" s="145"/>
      <c r="D49" s="145"/>
      <c r="E49" s="145"/>
      <c r="F49" s="145"/>
      <c r="G49" s="145"/>
      <c r="H49" s="145"/>
      <c r="I49" s="145"/>
      <c r="J49" s="145"/>
      <c r="K49" s="45">
        <f>SUM(K40:K48)+K38</f>
        <v>0</v>
      </c>
      <c r="M49" s="28"/>
      <c r="N49" s="28"/>
    </row>
    <row r="50" spans="1:28" ht="7.95" customHeight="1" thickTop="1" thickBot="1" x14ac:dyDescent="0.35">
      <c r="M50" s="28"/>
      <c r="N50" s="28"/>
    </row>
    <row r="51" spans="1:28" ht="16.2" thickTop="1" x14ac:dyDescent="0.3">
      <c r="A51" s="106" t="s">
        <v>38</v>
      </c>
      <c r="B51" s="107"/>
      <c r="C51" s="107"/>
      <c r="D51" s="107"/>
      <c r="E51" s="107" t="s">
        <v>17</v>
      </c>
      <c r="F51" s="107"/>
      <c r="G51" s="39"/>
      <c r="H51" s="40" t="s">
        <v>18</v>
      </c>
      <c r="I51" s="88" t="s">
        <v>19</v>
      </c>
      <c r="J51" s="88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108"/>
      <c r="C52" s="108"/>
      <c r="D52" s="108"/>
      <c r="E52" s="109"/>
      <c r="F52" s="109"/>
      <c r="G52" s="109"/>
      <c r="H52" s="55" t="s">
        <v>13</v>
      </c>
      <c r="I52" s="110" t="s">
        <v>13</v>
      </c>
      <c r="J52" s="110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111" t="s">
        <v>28</v>
      </c>
      <c r="C53" s="111"/>
      <c r="D53" s="111"/>
      <c r="E53" s="111" t="s">
        <v>29</v>
      </c>
      <c r="F53" s="111"/>
      <c r="G53" s="42" t="s">
        <v>30</v>
      </c>
      <c r="H53" s="43" t="s">
        <v>31</v>
      </c>
      <c r="I53" s="97" t="s">
        <v>12</v>
      </c>
      <c r="J53" s="97"/>
      <c r="K53" s="37" t="s">
        <v>32</v>
      </c>
      <c r="M53" s="28"/>
      <c r="N53" s="28"/>
    </row>
    <row r="54" spans="1:28" ht="15" thickTop="1" x14ac:dyDescent="0.3">
      <c r="A54" s="22"/>
      <c r="B54" s="112"/>
      <c r="C54" s="113"/>
      <c r="D54" s="114"/>
      <c r="E54" s="161" t="s">
        <v>13</v>
      </c>
      <c r="F54" s="162"/>
      <c r="G54" s="68" t="s">
        <v>13</v>
      </c>
      <c r="H54" s="69" t="s">
        <v>13</v>
      </c>
      <c r="I54" s="143">
        <f>IFERROR(R54+T54+V54+X54+Z54+AB54,"-")</f>
        <v>0</v>
      </c>
      <c r="J54" s="144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58"/>
      <c r="C55" s="159"/>
      <c r="D55" s="160"/>
      <c r="E55" s="130" t="s">
        <v>13</v>
      </c>
      <c r="F55" s="131"/>
      <c r="G55" s="32" t="s">
        <v>13</v>
      </c>
      <c r="H55" s="29" t="s">
        <v>13</v>
      </c>
      <c r="I55" s="86">
        <f t="shared" ref="I55:I56" si="15">IFERROR(R55+T55+V55+X55+Z55+AB55,"-")</f>
        <v>0</v>
      </c>
      <c r="J55" s="87"/>
      <c r="K55" s="9">
        <f t="shared" ref="K55:K62" si="16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58"/>
      <c r="C56" s="159"/>
      <c r="D56" s="160"/>
      <c r="E56" s="122" t="s">
        <v>13</v>
      </c>
      <c r="F56" s="123"/>
      <c r="G56" s="66" t="s">
        <v>13</v>
      </c>
      <c r="H56" s="67" t="s">
        <v>13</v>
      </c>
      <c r="I56" s="124">
        <f t="shared" si="15"/>
        <v>0</v>
      </c>
      <c r="J56" s="125"/>
      <c r="K56" s="9">
        <f t="shared" si="16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83"/>
      <c r="C57" s="84"/>
      <c r="D57" s="85"/>
      <c r="E57" s="130" t="s">
        <v>13</v>
      </c>
      <c r="F57" s="131"/>
      <c r="G57" s="32" t="s">
        <v>13</v>
      </c>
      <c r="H57" s="29" t="s">
        <v>13</v>
      </c>
      <c r="I57" s="86">
        <f t="shared" ref="I57:I62" si="18">IFERROR(R57+T57+V57+X57+Z57+AB57,"-")</f>
        <v>0</v>
      </c>
      <c r="J57" s="87"/>
      <c r="K57" s="9">
        <f t="shared" si="16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83"/>
      <c r="C58" s="84"/>
      <c r="D58" s="85"/>
      <c r="E58" s="130" t="s">
        <v>13</v>
      </c>
      <c r="F58" s="131"/>
      <c r="G58" s="32" t="s">
        <v>13</v>
      </c>
      <c r="H58" s="29" t="s">
        <v>13</v>
      </c>
      <c r="I58" s="86">
        <f t="shared" si="18"/>
        <v>0</v>
      </c>
      <c r="J58" s="87"/>
      <c r="K58" s="9">
        <f t="shared" si="16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83"/>
      <c r="C59" s="84"/>
      <c r="D59" s="85"/>
      <c r="E59" s="130" t="s">
        <v>13</v>
      </c>
      <c r="F59" s="131"/>
      <c r="G59" s="32" t="s">
        <v>13</v>
      </c>
      <c r="H59" s="29" t="s">
        <v>13</v>
      </c>
      <c r="I59" s="86">
        <f t="shared" si="18"/>
        <v>0</v>
      </c>
      <c r="J59" s="87"/>
      <c r="K59" s="9">
        <f t="shared" si="16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83"/>
      <c r="C60" s="84"/>
      <c r="D60" s="85"/>
      <c r="E60" s="130" t="s">
        <v>13</v>
      </c>
      <c r="F60" s="131"/>
      <c r="G60" s="32" t="s">
        <v>13</v>
      </c>
      <c r="H60" s="29" t="s">
        <v>13</v>
      </c>
      <c r="I60" s="86">
        <f t="shared" si="18"/>
        <v>0</v>
      </c>
      <c r="J60" s="87"/>
      <c r="K60" s="9">
        <f t="shared" si="16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83"/>
      <c r="C61" s="84"/>
      <c r="D61" s="85"/>
      <c r="E61" s="130" t="s">
        <v>13</v>
      </c>
      <c r="F61" s="131"/>
      <c r="G61" s="32" t="s">
        <v>13</v>
      </c>
      <c r="H61" s="29" t="s">
        <v>13</v>
      </c>
      <c r="I61" s="86">
        <f t="shared" si="18"/>
        <v>0</v>
      </c>
      <c r="J61" s="87"/>
      <c r="K61" s="9">
        <f t="shared" si="16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32"/>
      <c r="C62" s="133"/>
      <c r="D62" s="134"/>
      <c r="E62" s="135" t="s">
        <v>13</v>
      </c>
      <c r="F62" s="136"/>
      <c r="G62" s="33" t="s">
        <v>13</v>
      </c>
      <c r="H62" s="30" t="s">
        <v>13</v>
      </c>
      <c r="I62" s="124">
        <f t="shared" si="18"/>
        <v>0</v>
      </c>
      <c r="J62" s="125"/>
      <c r="K62" s="10">
        <f t="shared" si="16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111"/>
      <c r="C63" s="145"/>
      <c r="D63" s="145"/>
      <c r="E63" s="145"/>
      <c r="F63" s="145"/>
      <c r="G63" s="145"/>
      <c r="H63" s="145"/>
      <c r="I63" s="145"/>
      <c r="J63" s="145"/>
      <c r="K63" s="45">
        <f>SUM(K54:K62)+K52</f>
        <v>0</v>
      </c>
      <c r="M63" s="28"/>
      <c r="N63" s="28"/>
    </row>
    <row r="64" spans="1:28" ht="7.95" customHeight="1" thickTop="1" x14ac:dyDescent="0.3">
      <c r="M64" s="28"/>
      <c r="N64" s="28"/>
    </row>
    <row r="65" spans="1:14" ht="7.95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46" t="s">
        <v>35</v>
      </c>
      <c r="C66" s="146"/>
      <c r="D66" s="146"/>
      <c r="E66" s="146"/>
      <c r="F66" s="146"/>
      <c r="G66" s="47"/>
      <c r="H66" s="146" t="s">
        <v>36</v>
      </c>
      <c r="I66" s="146"/>
      <c r="J66" s="146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77734375" defaultRowHeight="14.4" x14ac:dyDescent="0.3"/>
  <cols>
    <col min="1" max="1" width="8.77734375" style="14"/>
    <col min="2" max="2" width="38.33203125" style="14" bestFit="1" customWidth="1"/>
    <col min="3" max="16384" width="8.777343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pane="bottomLeft" activeCell="X8" sqref="X8"/>
    </sheetView>
  </sheetViews>
  <sheetFormatPr defaultColWidth="8.777343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777343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777343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77734375" style="14"/>
    <col min="22" max="22" width="11.6640625" style="14" bestFit="1" customWidth="1"/>
    <col min="23" max="23" width="8.77734375" style="14"/>
    <col min="24" max="24" width="19.109375" style="14" bestFit="1" customWidth="1"/>
    <col min="25" max="25" width="2" style="14" bestFit="1" customWidth="1"/>
    <col min="26" max="26" width="8.77734375" style="14"/>
    <col min="27" max="27" width="22.109375" style="14" bestFit="1" customWidth="1"/>
    <col min="28" max="28" width="3" style="14" bestFit="1" customWidth="1"/>
    <col min="29" max="29" width="8.77734375" style="14"/>
    <col min="30" max="30" width="21.6640625" style="14" bestFit="1" customWidth="1"/>
    <col min="31" max="31" width="3.6640625" style="14" bestFit="1" customWidth="1"/>
    <col min="32" max="32" width="8.77734375" style="14"/>
    <col min="33" max="34" width="11.6640625" style="14" bestFit="1" customWidth="1"/>
    <col min="35" max="16384" width="8.777343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3" si="0">C11-3</f>
        <v>7</v>
      </c>
      <c r="C11" s="18">
        <v>10</v>
      </c>
      <c r="D11" s="18">
        <f t="shared" ref="D11:D13" si="1"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 t="shared" ref="B12" si="2">C12-3</f>
        <v>10</v>
      </c>
      <c r="C12" s="18">
        <v>13</v>
      </c>
      <c r="D12" s="18">
        <f t="shared" ref="D12" si="3"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 t="shared" si="0"/>
        <v>8</v>
      </c>
      <c r="C13" s="18">
        <v>11</v>
      </c>
      <c r="D13" s="18">
        <f t="shared" si="1"/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 t="shared" ref="B14" si="4">C14-3</f>
        <v>10</v>
      </c>
      <c r="C14" s="18">
        <v>13</v>
      </c>
      <c r="D14" s="18">
        <f t="shared" ref="D14" si="5"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6">C15-3</f>
        <v>10</v>
      </c>
      <c r="C15" s="18">
        <v>13</v>
      </c>
      <c r="D15" s="18">
        <f t="shared" ref="D15:D65" si="7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 t="shared" ref="B17" si="8">C17-3</f>
        <v>11</v>
      </c>
      <c r="C17" s="18">
        <v>14</v>
      </c>
      <c r="D17" s="18">
        <f t="shared" ref="D17" si="9"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 t="shared" ref="B18" si="10">C18-3</f>
        <v>14</v>
      </c>
      <c r="C18" s="18">
        <v>17</v>
      </c>
      <c r="D18" s="18">
        <f t="shared" ref="D18" si="11"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6"/>
        <v>9</v>
      </c>
      <c r="C19" s="18">
        <v>12</v>
      </c>
      <c r="D19" s="18">
        <f t="shared" si="7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 t="shared" ref="B20:B21" si="12">C20-3</f>
        <v>11</v>
      </c>
      <c r="C20" s="18">
        <v>14</v>
      </c>
      <c r="D20" s="18">
        <f t="shared" ref="D20:D21" si="13"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 t="shared" si="12"/>
        <v>13</v>
      </c>
      <c r="C21" s="18">
        <v>16</v>
      </c>
      <c r="D21" s="18">
        <f t="shared" si="13"/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6"/>
        <v>11</v>
      </c>
      <c r="C22" s="18">
        <v>14</v>
      </c>
      <c r="D22" s="18">
        <f t="shared" ref="D22" si="14"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 t="shared" ref="B23" si="15">C23-3</f>
        <v>12</v>
      </c>
      <c r="C23" s="18">
        <v>15</v>
      </c>
      <c r="D23" s="18">
        <f t="shared" ref="D23" si="16"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6"/>
        <v>14</v>
      </c>
      <c r="C24" s="18">
        <v>17</v>
      </c>
      <c r="D24" s="18">
        <f t="shared" si="7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6"/>
        <v>14</v>
      </c>
      <c r="C25" s="18">
        <v>17</v>
      </c>
      <c r="D25" s="18">
        <f t="shared" si="7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17">C26-3</f>
        <v>7</v>
      </c>
      <c r="C26" s="18">
        <v>10</v>
      </c>
      <c r="D26" s="18">
        <f t="shared" si="7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17"/>
        <v>9</v>
      </c>
      <c r="C27" s="18">
        <v>12</v>
      </c>
      <c r="D27" s="18">
        <f t="shared" si="7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17"/>
        <v>9</v>
      </c>
      <c r="C28" s="18">
        <v>12</v>
      </c>
      <c r="D28" s="18">
        <f t="shared" si="7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17"/>
        <v>9</v>
      </c>
      <c r="C29" s="18">
        <v>12</v>
      </c>
      <c r="D29" s="18">
        <f t="shared" ref="D29:D30" si="18"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17"/>
        <v>10</v>
      </c>
      <c r="C30" s="18">
        <v>13</v>
      </c>
      <c r="D30" s="18">
        <f t="shared" si="18"/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17"/>
        <v>12</v>
      </c>
      <c r="C31" s="18">
        <v>15</v>
      </c>
      <c r="D31" s="18">
        <f t="shared" si="7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6" si="19">C32-3</f>
        <v>12</v>
      </c>
      <c r="C32" s="18">
        <v>15</v>
      </c>
      <c r="D32" s="18">
        <f t="shared" si="7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19"/>
        <v>13</v>
      </c>
      <c r="C33" s="18">
        <v>16</v>
      </c>
      <c r="D33" s="18">
        <f t="shared" ref="D33" si="20"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19"/>
        <v>11</v>
      </c>
      <c r="C34" s="18">
        <v>14</v>
      </c>
      <c r="D34" s="18">
        <f t="shared" si="7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19"/>
        <v>12</v>
      </c>
      <c r="C35" s="18">
        <v>15</v>
      </c>
      <c r="D35" s="18">
        <f t="shared" si="7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19"/>
        <v>9</v>
      </c>
      <c r="C36" s="18">
        <v>12</v>
      </c>
      <c r="D36" s="18">
        <f t="shared" ref="D36" si="21"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ref="B37:B65" si="22">C37-3</f>
        <v>11</v>
      </c>
      <c r="C37" s="18">
        <v>14</v>
      </c>
      <c r="D37" s="18">
        <f t="shared" si="7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22"/>
        <v>12</v>
      </c>
      <c r="C38" s="18">
        <v>15</v>
      </c>
      <c r="D38" s="18">
        <f t="shared" si="7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22"/>
        <v>14</v>
      </c>
      <c r="C39" s="18">
        <v>17</v>
      </c>
      <c r="D39" s="18">
        <f t="shared" si="7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 t="shared" ref="D40:D41" si="23"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 t="shared" si="23"/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7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7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 t="shared" si="22"/>
        <v>7</v>
      </c>
      <c r="C44" s="18">
        <v>10</v>
      </c>
      <c r="D44" s="18">
        <f t="shared" si="7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 t="shared" ref="B45:B46" si="24">C45-3</f>
        <v>9</v>
      </c>
      <c r="C45" s="18">
        <v>12</v>
      </c>
      <c r="D45" s="18">
        <f t="shared" ref="D45:D46" si="25"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 t="shared" si="24"/>
        <v>10</v>
      </c>
      <c r="C46" s="18">
        <v>13</v>
      </c>
      <c r="D46" s="18">
        <f t="shared" si="25"/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 t="shared" si="22"/>
        <v>12</v>
      </c>
      <c r="C47" s="18">
        <v>15</v>
      </c>
      <c r="D47" s="18">
        <f t="shared" si="7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 t="shared" ref="B48" si="26">C48-3</f>
        <v>12</v>
      </c>
      <c r="C48" s="18">
        <v>15</v>
      </c>
      <c r="D48" s="18">
        <f t="shared" ref="D48" si="27"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 t="shared" ref="D49:D50" si="28"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 t="shared" si="28"/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 t="shared" ref="D51" si="29"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7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7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7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 t="shared" ref="D55:D56" si="30"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 t="shared" si="30"/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si="22"/>
        <v>10</v>
      </c>
      <c r="C57" s="18">
        <v>13</v>
      </c>
      <c r="D57" s="18">
        <f t="shared" si="7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22"/>
        <v>12</v>
      </c>
      <c r="C58" s="18">
        <v>15</v>
      </c>
      <c r="D58" s="18">
        <f t="shared" si="7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22"/>
        <v>12</v>
      </c>
      <c r="C59" s="18">
        <v>15</v>
      </c>
      <c r="D59" s="18">
        <f t="shared" si="7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22"/>
        <v>15</v>
      </c>
      <c r="C60" s="18">
        <v>18</v>
      </c>
      <c r="D60" s="18">
        <f t="shared" si="7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22"/>
        <v>10</v>
      </c>
      <c r="C61" s="18">
        <v>13</v>
      </c>
      <c r="D61" s="18">
        <f t="shared" si="7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22"/>
        <v>10</v>
      </c>
      <c r="C62" s="18">
        <v>13</v>
      </c>
      <c r="D62" s="18">
        <f t="shared" ref="D62" si="31"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ref="B63" si="32">C63-3</f>
        <v>17</v>
      </c>
      <c r="C63" s="18">
        <v>20</v>
      </c>
      <c r="D63" s="18">
        <f t="shared" ref="D63" si="33"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22"/>
        <v>14</v>
      </c>
      <c r="C64" s="18">
        <v>17</v>
      </c>
      <c r="D64" s="18">
        <f t="shared" si="7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22"/>
        <v>14</v>
      </c>
      <c r="C65" s="18">
        <v>17</v>
      </c>
      <c r="D65" s="18">
        <f t="shared" si="7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ref="B66:B68" si="34">C66-3</f>
        <v>17</v>
      </c>
      <c r="C66" s="18">
        <v>20</v>
      </c>
      <c r="D66" s="18">
        <f t="shared" ref="D66:D68" si="3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34"/>
        <v>16</v>
      </c>
      <c r="C67" s="18">
        <v>19</v>
      </c>
      <c r="D67" s="18">
        <f t="shared" si="3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34"/>
        <v>19</v>
      </c>
      <c r="C68" s="18">
        <v>22</v>
      </c>
      <c r="D68" s="18">
        <f t="shared" si="3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ref="B69" si="36">C69-3</f>
        <v>16</v>
      </c>
      <c r="C69" s="18">
        <v>19</v>
      </c>
      <c r="D69" s="18">
        <f t="shared" ref="D69" si="37">C69+3</f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>C70-3</f>
        <v>14</v>
      </c>
      <c r="C70" s="18">
        <v>17</v>
      </c>
      <c r="D70" s="18">
        <f>C70+3</f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>C71-3</f>
        <v>16</v>
      </c>
      <c r="C71" s="18">
        <v>19</v>
      </c>
      <c r="D71" s="18">
        <f>C71+3</f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>C72-3</f>
        <v>17</v>
      </c>
      <c r="C72" s="18">
        <v>20</v>
      </c>
      <c r="D72" s="18">
        <f>C72+3</f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38">C73-3</f>
        <v>18</v>
      </c>
      <c r="C73" s="18">
        <v>21</v>
      </c>
      <c r="D73" s="18">
        <f t="shared" ref="D73:D85" si="39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38"/>
        <v>16</v>
      </c>
      <c r="C74" s="18">
        <v>19</v>
      </c>
      <c r="D74" s="18">
        <f t="shared" si="39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38"/>
        <v>17</v>
      </c>
      <c r="C75" s="18">
        <v>20</v>
      </c>
      <c r="D75" s="18">
        <f t="shared" si="39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38"/>
        <v>12</v>
      </c>
      <c r="C76" s="18">
        <v>15</v>
      </c>
      <c r="D76" s="18">
        <f t="shared" si="39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 t="shared" ref="B77:B80" si="40">C77-3</f>
        <v>14</v>
      </c>
      <c r="C77" s="18">
        <v>17</v>
      </c>
      <c r="D77" s="18">
        <f t="shared" ref="D77:D80" si="41"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 t="shared" si="40"/>
        <v>13</v>
      </c>
      <c r="C78" s="18">
        <v>16</v>
      </c>
      <c r="D78" s="18">
        <f t="shared" si="41"/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 t="shared" si="40"/>
        <v>15</v>
      </c>
      <c r="C79" s="18">
        <v>18</v>
      </c>
      <c r="D79" s="18">
        <f t="shared" si="41"/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 t="shared" si="40"/>
        <v>16</v>
      </c>
      <c r="C80" s="18">
        <v>19</v>
      </c>
      <c r="D80" s="18">
        <f t="shared" si="41"/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 t="shared" ref="D81" si="42"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39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38"/>
        <v>15</v>
      </c>
      <c r="C83" s="18">
        <v>18</v>
      </c>
      <c r="D83" s="18">
        <f t="shared" si="39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38"/>
        <v>17</v>
      </c>
      <c r="C84" s="18">
        <v>20</v>
      </c>
      <c r="D84" s="18">
        <f t="shared" si="39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38"/>
        <v>14</v>
      </c>
      <c r="C85" s="18">
        <v>17</v>
      </c>
      <c r="D85" s="18">
        <f t="shared" si="39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>C92-2</f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>C93-2</f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ref="B94:B98" si="43">C94-2</f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43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43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43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43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44">C101-2</f>
        <v>5</v>
      </c>
      <c r="C101" s="18">
        <v>7</v>
      </c>
      <c r="D101" s="18">
        <f t="shared" ref="D101:D155" si="45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44"/>
        <v>6</v>
      </c>
      <c r="C102" s="18">
        <v>8</v>
      </c>
      <c r="D102" s="18">
        <f t="shared" ref="D102" si="46"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44"/>
        <v>7</v>
      </c>
      <c r="C103" s="18">
        <v>9</v>
      </c>
      <c r="D103" s="18">
        <f t="shared" si="45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 t="shared" ref="B104" si="47">C104-2</f>
        <v>8</v>
      </c>
      <c r="C104" s="18">
        <v>10</v>
      </c>
      <c r="D104" s="18">
        <f t="shared" ref="D104" si="48"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44"/>
        <v>7</v>
      </c>
      <c r="C105" s="18">
        <v>9</v>
      </c>
      <c r="D105" s="18">
        <f t="shared" si="45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 t="shared" ref="B106" si="49">C106-2</f>
        <v>8</v>
      </c>
      <c r="C106" s="18">
        <v>10</v>
      </c>
      <c r="D106" s="18">
        <f t="shared" ref="D106" si="50"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44"/>
        <v>7</v>
      </c>
      <c r="C107" s="18">
        <v>9</v>
      </c>
      <c r="D107" s="18">
        <f t="shared" si="45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 t="shared" ref="B108" si="51">C108-2</f>
        <v>8</v>
      </c>
      <c r="C108" s="18">
        <v>10</v>
      </c>
      <c r="D108" s="18">
        <f t="shared" ref="D108" si="52"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44"/>
        <v>6</v>
      </c>
      <c r="C109" s="18">
        <v>8</v>
      </c>
      <c r="D109" s="18">
        <f t="shared" si="45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44"/>
        <v>6</v>
      </c>
      <c r="C110" s="18">
        <v>8</v>
      </c>
      <c r="D110" s="18">
        <f t="shared" si="45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 t="shared" ref="B111" si="53">C111-2</f>
        <v>8</v>
      </c>
      <c r="C111" s="18">
        <v>10</v>
      </c>
      <c r="D111" s="18">
        <f t="shared" ref="D111" si="54"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 t="shared" ref="B112:B114" si="55">C112-2</f>
        <v>7</v>
      </c>
      <c r="C112" s="18">
        <v>9</v>
      </c>
      <c r="D112" s="18">
        <f t="shared" ref="D112:D113" si="56"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 t="shared" si="55"/>
        <v>7</v>
      </c>
      <c r="C113" s="18">
        <v>9</v>
      </c>
      <c r="D113" s="18">
        <f t="shared" si="56"/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 t="shared" si="55"/>
        <v>8</v>
      </c>
      <c r="C114" s="18">
        <v>10</v>
      </c>
      <c r="D114" s="18">
        <f t="shared" ref="D114" si="57"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44"/>
        <v>7</v>
      </c>
      <c r="C115" s="18">
        <v>9</v>
      </c>
      <c r="D115" s="18">
        <f t="shared" si="45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 t="shared" ref="B116" si="58">C116-2</f>
        <v>7</v>
      </c>
      <c r="C116" s="18">
        <v>9</v>
      </c>
      <c r="D116" s="18">
        <f t="shared" ref="D116" si="59"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44"/>
        <v>5</v>
      </c>
      <c r="C117" s="18">
        <v>7</v>
      </c>
      <c r="D117" s="18">
        <f t="shared" si="45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44"/>
        <v>7</v>
      </c>
      <c r="C118" s="18">
        <v>9</v>
      </c>
      <c r="D118" s="18">
        <f t="shared" si="45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44"/>
        <v>8</v>
      </c>
      <c r="C119" s="18">
        <v>10</v>
      </c>
      <c r="D119" s="18">
        <f t="shared" si="45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44"/>
        <v>9</v>
      </c>
      <c r="C120" s="18">
        <v>11</v>
      </c>
      <c r="D120" s="18">
        <f t="shared" si="45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 t="shared" ref="B121" si="60">C121-2</f>
        <v>10</v>
      </c>
      <c r="C121" s="18">
        <v>12</v>
      </c>
      <c r="D121" s="18">
        <f t="shared" ref="D121" si="61"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44"/>
        <v>9</v>
      </c>
      <c r="C122" s="18">
        <v>11</v>
      </c>
      <c r="D122" s="18">
        <f t="shared" si="45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 t="shared" ref="B123" si="62">C123-2</f>
        <v>10</v>
      </c>
      <c r="C123" s="18">
        <v>12</v>
      </c>
      <c r="D123" s="18">
        <f t="shared" ref="D123" si="63"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44"/>
        <v>9</v>
      </c>
      <c r="C124" s="18">
        <v>11</v>
      </c>
      <c r="D124" s="18">
        <f t="shared" si="45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 t="shared" ref="B125" si="64">C125-2</f>
        <v>10</v>
      </c>
      <c r="C125" s="18">
        <v>12</v>
      </c>
      <c r="D125" s="18">
        <f t="shared" ref="D125" si="65"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44"/>
        <v>8</v>
      </c>
      <c r="C126" s="18">
        <v>10</v>
      </c>
      <c r="D126" s="18">
        <f t="shared" si="45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44"/>
        <v>8</v>
      </c>
      <c r="C127" s="18">
        <v>10</v>
      </c>
      <c r="D127" s="18">
        <f t="shared" si="45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 t="shared" ref="B128" si="66">C128-2</f>
        <v>10</v>
      </c>
      <c r="C128" s="18">
        <v>12</v>
      </c>
      <c r="D128" s="18">
        <f t="shared" ref="D128" si="67"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 t="shared" ref="B129:B132" si="68">C129-2</f>
        <v>9</v>
      </c>
      <c r="C129" s="18">
        <v>11</v>
      </c>
      <c r="D129" s="18">
        <f t="shared" ref="D129:D131" si="69"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 t="shared" si="68"/>
        <v>9</v>
      </c>
      <c r="C130" s="18">
        <v>11</v>
      </c>
      <c r="D130" s="18">
        <f t="shared" si="69"/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 t="shared" si="68"/>
        <v>10</v>
      </c>
      <c r="C131" s="18">
        <v>12</v>
      </c>
      <c r="D131" s="18">
        <f t="shared" si="69"/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 t="shared" si="68"/>
        <v>7</v>
      </c>
      <c r="C132" s="18">
        <v>9</v>
      </c>
      <c r="D132" s="18">
        <f t="shared" si="45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44"/>
        <v>9</v>
      </c>
      <c r="C133" s="18">
        <v>11</v>
      </c>
      <c r="D133" s="18">
        <f t="shared" si="45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44"/>
        <v>9</v>
      </c>
      <c r="C136" s="18">
        <v>11</v>
      </c>
      <c r="D136" s="18">
        <f t="shared" si="45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44"/>
        <v>11</v>
      </c>
      <c r="C137" s="18">
        <v>13</v>
      </c>
      <c r="D137" s="18">
        <f t="shared" si="45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 t="shared" ref="B138" si="70">C138-2</f>
        <v>12</v>
      </c>
      <c r="C138" s="18">
        <v>14</v>
      </c>
      <c r="D138" s="18">
        <f t="shared" ref="D138" si="71"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44"/>
        <v>11</v>
      </c>
      <c r="C139" s="18">
        <v>13</v>
      </c>
      <c r="D139" s="18">
        <f t="shared" si="45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 t="shared" ref="B140" si="72">C140-2</f>
        <v>12</v>
      </c>
      <c r="C140" s="18">
        <v>14</v>
      </c>
      <c r="D140" s="18">
        <f t="shared" ref="D140" si="73"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44"/>
        <v>11</v>
      </c>
      <c r="C141" s="18">
        <v>13</v>
      </c>
      <c r="D141" s="18">
        <f t="shared" si="45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 t="shared" ref="B142" si="74">C142-2</f>
        <v>12</v>
      </c>
      <c r="C142" s="18">
        <v>14</v>
      </c>
      <c r="D142" s="18">
        <f t="shared" ref="D142" si="75"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44"/>
        <v>10</v>
      </c>
      <c r="C143" s="18">
        <v>12</v>
      </c>
      <c r="D143" s="18">
        <f t="shared" si="45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44"/>
        <v>10</v>
      </c>
      <c r="C144" s="18">
        <v>12</v>
      </c>
      <c r="D144" s="18">
        <f t="shared" si="45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 t="shared" ref="B145:B147" si="76">C145-2</f>
        <v>12</v>
      </c>
      <c r="C145" s="18">
        <v>14</v>
      </c>
      <c r="D145" s="18">
        <f t="shared" ref="D145:D147" si="77"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 t="shared" ref="B146" si="78">C146-2</f>
        <v>12</v>
      </c>
      <c r="C146" s="18">
        <v>14</v>
      </c>
      <c r="D146" s="18">
        <f t="shared" ref="D146" si="79"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 t="shared" si="76"/>
        <v>11</v>
      </c>
      <c r="C147" s="18">
        <v>13</v>
      </c>
      <c r="D147" s="18">
        <f t="shared" si="77"/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 t="shared" ref="B148" si="80">C148-2</f>
        <v>11</v>
      </c>
      <c r="C148" s="18">
        <v>13</v>
      </c>
      <c r="D148" s="18">
        <f t="shared" ref="D148" si="81"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44"/>
        <v>9</v>
      </c>
      <c r="C149" s="18">
        <v>11</v>
      </c>
      <c r="D149" s="18">
        <f t="shared" si="45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44"/>
        <v>10</v>
      </c>
      <c r="C150" s="18">
        <v>12</v>
      </c>
      <c r="D150" s="18">
        <f t="shared" si="45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44"/>
        <v>11</v>
      </c>
      <c r="C151" s="18">
        <v>13</v>
      </c>
      <c r="D151" s="18">
        <f t="shared" si="45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44"/>
        <v>6</v>
      </c>
      <c r="C152" s="18">
        <v>8</v>
      </c>
      <c r="D152" s="18">
        <f t="shared" si="45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44"/>
        <v>8</v>
      </c>
      <c r="C153" s="18">
        <v>10</v>
      </c>
      <c r="D153" s="18">
        <f t="shared" si="45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45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45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 t="shared" ref="B157:B158" si="82">C157-3</f>
        <v>13</v>
      </c>
      <c r="C157" s="18">
        <v>16</v>
      </c>
      <c r="D157" s="18">
        <f t="shared" ref="D157:D158" si="83"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 t="shared" si="82"/>
        <v>13</v>
      </c>
      <c r="C158" s="18">
        <v>16</v>
      </c>
      <c r="D158" s="18">
        <f t="shared" si="83"/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77734375" defaultRowHeight="14.4" x14ac:dyDescent="0.3"/>
  <cols>
    <col min="2" max="2" width="12.77734375" customWidth="1"/>
    <col min="3" max="3" width="49.664062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ht="28.8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Standard format (220 pts) (2)</vt:lpstr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cp:lastPrinted>2025-10-18T09:31:06Z</cp:lastPrinted>
  <dcterms:created xsi:type="dcterms:W3CDTF">2021-12-20T10:25:50Z</dcterms:created>
  <dcterms:modified xsi:type="dcterms:W3CDTF">2026-09-14T22:10:06Z</dcterms:modified>
  <cp:category/>
  <cp:contentStatus/>
</cp:coreProperties>
</file>